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08ba2b053f01ec7/My Documents/Personal/Invest/Pharma ^0 medico/Genmab/"/>
    </mc:Choice>
  </mc:AlternateContent>
  <xr:revisionPtr revIDLastSave="4" documentId="8_{BF00F184-8A89-43D5-8FE4-C7D37795B4A8}" xr6:coauthVersionLast="40" xr6:coauthVersionMax="40" xr10:uidLastSave="{ECF66CDB-DDB4-4068-84E1-6A456C113A77}"/>
  <bookViews>
    <workbookView xWindow="-120" yWindow="-120" windowWidth="29040" windowHeight="15840" xr2:uid="{254CEC1E-0F95-44BA-AE77-1F7F7AE67B5A}"/>
  </bookViews>
  <sheets>
    <sheet name="Dara receptt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I59" i="1" l="1"/>
  <c r="J48" i="1"/>
  <c r="G48" i="1"/>
  <c r="D48" i="1"/>
  <c r="D49" i="1" s="1"/>
  <c r="L47" i="1"/>
  <c r="J47" i="1"/>
  <c r="G47" i="1"/>
  <c r="I45" i="1"/>
  <c r="F45" i="1"/>
  <c r="J44" i="1"/>
  <c r="M44" i="1" s="1"/>
  <c r="G44" i="1"/>
  <c r="L43" i="1"/>
  <c r="J43" i="1"/>
  <c r="D42" i="1"/>
  <c r="K44" i="1" s="1"/>
  <c r="L41" i="1"/>
  <c r="K41" i="1"/>
  <c r="J41" i="1"/>
  <c r="G41" i="1"/>
  <c r="E41" i="1"/>
  <c r="O41" i="1" s="1"/>
  <c r="J40" i="1"/>
  <c r="G40" i="1"/>
  <c r="G39" i="1"/>
  <c r="D39" i="1"/>
  <c r="D45" i="1" s="1"/>
  <c r="L38" i="1"/>
  <c r="K38" i="1"/>
  <c r="J38" i="1"/>
  <c r="G38" i="1"/>
  <c r="E38" i="1"/>
  <c r="O38" i="1" s="1"/>
  <c r="J37" i="1"/>
  <c r="M37" i="1" s="1"/>
  <c r="G37" i="1"/>
  <c r="J36" i="1"/>
  <c r="M36" i="1" s="1"/>
  <c r="G36" i="1"/>
  <c r="L35" i="1"/>
  <c r="K35" i="1"/>
  <c r="J35" i="1"/>
  <c r="G35" i="1"/>
  <c r="E35" i="1"/>
  <c r="O35" i="1" s="1"/>
  <c r="J34" i="1"/>
  <c r="M34" i="1" s="1"/>
  <c r="G34" i="1"/>
  <c r="J33" i="1"/>
  <c r="G33" i="1"/>
  <c r="J31" i="1"/>
  <c r="I31" i="1"/>
  <c r="D31" i="1"/>
  <c r="M30" i="1"/>
  <c r="L30" i="1"/>
  <c r="K30" i="1"/>
  <c r="J30" i="1"/>
  <c r="G30" i="1"/>
  <c r="O30" i="1"/>
  <c r="E30" i="1"/>
  <c r="L29" i="1"/>
  <c r="J29" i="1"/>
  <c r="G29" i="1"/>
  <c r="J28" i="1"/>
  <c r="M29" i="1" s="1"/>
  <c r="G28" i="1"/>
  <c r="M27" i="1"/>
  <c r="K27" i="1"/>
  <c r="J27" i="1"/>
  <c r="L27" i="1" s="1"/>
  <c r="G27" i="1"/>
  <c r="E27" i="1"/>
  <c r="M26" i="1"/>
  <c r="J26" i="1"/>
  <c r="L26" i="1" s="1"/>
  <c r="G26" i="1"/>
  <c r="L25" i="1"/>
  <c r="J25" i="1"/>
  <c r="G25" i="1"/>
  <c r="K24" i="1"/>
  <c r="J24" i="1"/>
  <c r="M25" i="1" s="1"/>
  <c r="G24" i="1"/>
  <c r="E24" i="1"/>
  <c r="J23" i="1"/>
  <c r="M23" i="1" s="1"/>
  <c r="G23" i="1"/>
  <c r="J22" i="1"/>
  <c r="L22" i="1" s="1"/>
  <c r="G22" i="1"/>
  <c r="K21" i="1"/>
  <c r="J21" i="1"/>
  <c r="M22" i="1" s="1"/>
  <c r="G21" i="1"/>
  <c r="D21" i="1"/>
  <c r="E21" i="1" s="1"/>
  <c r="J20" i="1"/>
  <c r="M20" i="1" s="1"/>
  <c r="G20" i="1"/>
  <c r="M19" i="1"/>
  <c r="L19" i="1"/>
  <c r="J19" i="1"/>
  <c r="A19" i="1"/>
  <c r="A33" i="1" s="1"/>
  <c r="A47" i="1" s="1"/>
  <c r="I17" i="1"/>
  <c r="L16" i="1"/>
  <c r="K16" i="1"/>
  <c r="J16" i="1"/>
  <c r="M16" i="1" s="1"/>
  <c r="G16" i="1"/>
  <c r="D16" i="1"/>
  <c r="G19" i="1" s="1"/>
  <c r="G31" i="1" s="1"/>
  <c r="J15" i="1"/>
  <c r="L15" i="1" s="1"/>
  <c r="G15" i="1"/>
  <c r="D14" i="1"/>
  <c r="E16" i="1" s="1"/>
  <c r="H16" i="1" s="1"/>
  <c r="L13" i="1"/>
  <c r="K13" i="1"/>
  <c r="J13" i="1"/>
  <c r="H13" i="1"/>
  <c r="G13" i="1"/>
  <c r="E13" i="1"/>
  <c r="J12" i="1"/>
  <c r="M13" i="1" s="1"/>
  <c r="G12" i="1"/>
  <c r="M11" i="1"/>
  <c r="L11" i="1"/>
  <c r="J11" i="1"/>
  <c r="G11" i="1"/>
  <c r="L10" i="1"/>
  <c r="K10" i="1"/>
  <c r="J10" i="1"/>
  <c r="M10" i="1" s="1"/>
  <c r="G10" i="1"/>
  <c r="E10" i="1"/>
  <c r="J9" i="1"/>
  <c r="M9" i="1" s="1"/>
  <c r="G9" i="1"/>
  <c r="J8" i="1"/>
  <c r="G7" i="1"/>
  <c r="J6" i="1"/>
  <c r="M6" i="1" s="1"/>
  <c r="G6" i="1"/>
  <c r="J5" i="1"/>
  <c r="O27" i="1" l="1"/>
  <c r="M40" i="1"/>
  <c r="H21" i="1"/>
  <c r="H31" i="1" s="1"/>
  <c r="E31" i="1"/>
  <c r="O21" i="1"/>
  <c r="H24" i="1"/>
  <c r="G45" i="1"/>
  <c r="G49" i="1"/>
  <c r="D50" i="1"/>
  <c r="E49" i="1"/>
  <c r="J49" i="1"/>
  <c r="J7" i="1"/>
  <c r="L12" i="1"/>
  <c r="L28" i="1"/>
  <c r="L33" i="1"/>
  <c r="H35" i="1"/>
  <c r="L36" i="1"/>
  <c r="H38" i="1"/>
  <c r="J39" i="1"/>
  <c r="G42" i="1"/>
  <c r="E44" i="1"/>
  <c r="L48" i="1"/>
  <c r="K49" i="1"/>
  <c r="L20" i="1"/>
  <c r="H27" i="1"/>
  <c r="L9" i="1"/>
  <c r="M12" i="1"/>
  <c r="L21" i="1"/>
  <c r="M28" i="1"/>
  <c r="H30" i="1"/>
  <c r="G14" i="1"/>
  <c r="D17" i="1"/>
  <c r="M21" i="1"/>
  <c r="L23" i="1"/>
  <c r="L24" i="1"/>
  <c r="O24" i="1"/>
  <c r="K7" i="1"/>
  <c r="M33" i="1"/>
  <c r="H41" i="1"/>
  <c r="J42" i="1"/>
  <c r="M48" i="1"/>
  <c r="G8" i="1"/>
  <c r="G17" i="1" s="1"/>
  <c r="J14" i="1"/>
  <c r="M24" i="1"/>
  <c r="M31" i="1" s="1"/>
  <c r="E7" i="1"/>
  <c r="L8" i="1"/>
  <c r="M35" i="1"/>
  <c r="L37" i="1"/>
  <c r="G43" i="1"/>
  <c r="M47" i="1"/>
  <c r="L34" i="1"/>
  <c r="M38" i="1"/>
  <c r="L40" i="1"/>
  <c r="M41" i="1"/>
  <c r="L44" i="1"/>
  <c r="M14" i="1" l="1"/>
  <c r="L14" i="1"/>
  <c r="H44" i="1"/>
  <c r="H45" i="1" s="1"/>
  <c r="O44" i="1"/>
  <c r="J17" i="1"/>
  <c r="M7" i="1"/>
  <c r="L7" i="1"/>
  <c r="E45" i="1"/>
  <c r="M39" i="1"/>
  <c r="L39" i="1"/>
  <c r="J45" i="1"/>
  <c r="M8" i="1"/>
  <c r="M42" i="1"/>
  <c r="L42" i="1"/>
  <c r="M43" i="1"/>
  <c r="J50" i="1"/>
  <c r="G50" i="1"/>
  <c r="D51" i="1"/>
  <c r="M15" i="1"/>
  <c r="M49" i="1"/>
  <c r="L49" i="1"/>
  <c r="H10" i="1"/>
  <c r="H17" i="1" s="1"/>
  <c r="E17" i="1"/>
  <c r="M45" i="1"/>
  <c r="H49" i="1"/>
  <c r="F49" i="1"/>
  <c r="O49" i="1" l="1"/>
  <c r="M17" i="1"/>
  <c r="D52" i="1"/>
  <c r="J51" i="1"/>
  <c r="G51" i="1"/>
  <c r="L50" i="1"/>
  <c r="M50" i="1"/>
  <c r="M51" i="1" l="1"/>
  <c r="L51" i="1"/>
  <c r="J52" i="1"/>
  <c r="G52" i="1"/>
  <c r="D53" i="1"/>
  <c r="E52" i="1"/>
  <c r="K52" i="1"/>
  <c r="H52" i="1" l="1"/>
  <c r="F52" i="1"/>
  <c r="M52" i="1"/>
  <c r="L52" i="1"/>
  <c r="D54" i="1"/>
  <c r="J53" i="1"/>
  <c r="G53" i="1"/>
  <c r="O52" i="1" l="1"/>
  <c r="M53" i="1"/>
  <c r="L53" i="1"/>
  <c r="G54" i="1"/>
  <c r="D55" i="1"/>
  <c r="J54" i="1"/>
  <c r="M54" i="1" l="1"/>
  <c r="L54" i="1"/>
  <c r="G55" i="1"/>
  <c r="D56" i="1"/>
  <c r="J55" i="1"/>
  <c r="K55" i="1"/>
  <c r="E55" i="1"/>
  <c r="H55" i="1" l="1"/>
  <c r="F55" i="1"/>
  <c r="J56" i="1"/>
  <c r="G56" i="1"/>
  <c r="D57" i="1"/>
  <c r="M55" i="1"/>
  <c r="L55" i="1"/>
  <c r="D58" i="1" l="1"/>
  <c r="J57" i="1"/>
  <c r="G57" i="1"/>
  <c r="E58" i="1"/>
  <c r="K58" i="1"/>
  <c r="L56" i="1"/>
  <c r="M56" i="1"/>
  <c r="O55" i="1"/>
  <c r="H58" i="1" l="1"/>
  <c r="H59" i="1" s="1"/>
  <c r="F58" i="1"/>
  <c r="E59" i="1"/>
  <c r="M57" i="1"/>
  <c r="L57" i="1"/>
  <c r="J58" i="1"/>
  <c r="G58" i="1"/>
  <c r="G59" i="1" s="1"/>
  <c r="D59" i="1"/>
  <c r="M58" i="1" l="1"/>
  <c r="M59" i="1" s="1"/>
  <c r="L58" i="1"/>
  <c r="J59" i="1"/>
  <c r="O58" i="1"/>
  <c r="F59" i="1"/>
</calcChain>
</file>

<file path=xl/sharedStrings.xml><?xml version="1.0" encoding="utf-8"?>
<sst xmlns="http://schemas.openxmlformats.org/spreadsheetml/2006/main" count="124" uniqueCount="35">
  <si>
    <t>Symphony Health, US prescription sales</t>
  </si>
  <si>
    <t>Year</t>
  </si>
  <si>
    <t>Month</t>
  </si>
  <si>
    <t>Act/Est</t>
  </si>
  <si>
    <t>per month, USD</t>
  </si>
  <si>
    <t>per qtr, USD</t>
  </si>
  <si>
    <t>Actual sales</t>
  </si>
  <si>
    <t>vækst m/m</t>
  </si>
  <si>
    <t>vækst q/q</t>
  </si>
  <si>
    <t>work days</t>
  </si>
  <si>
    <t>salg per dag, USD</t>
  </si>
  <si>
    <t>avg sales per day Qtr</t>
  </si>
  <si>
    <t xml:space="preserve">3 mths fwd rolling sales </t>
  </si>
  <si>
    <t>vækst d/d</t>
  </si>
  <si>
    <t>Comment</t>
  </si>
  <si>
    <t>Jan</t>
  </si>
  <si>
    <t>Act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</si>
  <si>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</si>
  <si>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</si>
  <si>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</si>
  <si>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</si>
  <si>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</si>
  <si>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</si>
  <si>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</si>
  <si>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</si>
  <si>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</si>
  <si>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</si>
  <si>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fda approval 2nd line, castor&amp;pollux</t>
  </si>
  <si>
    <t>dec</t>
  </si>
  <si>
    <t>FY</t>
  </si>
  <si>
    <t>fda approval dara+pom 3rd line</t>
  </si>
  <si>
    <t>fda approval Alcyone D-vmp</t>
  </si>
  <si>
    <t>EMA approval Alycone D-vmp</t>
  </si>
  <si>
    <t>Estimate</t>
  </si>
  <si>
    <t>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</si>
</sst>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k_r_._-;\-* #,##0.00\ _k_r_._-;_-* &quot;-&quot;??\ _k_r_._-;_-@_-"/>
    <numFmt numFmtId="164" formatCode="_ * #,##0.00_ ;_ * \-#,##0.00_ ;_ * &quot;-&quot;??_ ;_ @_ "/>
    <numFmt numFmtId="165" formatCode="_ * #,##0.0_ ;_ * \-#,##0.0_ ;_ * &quot;-&quot;??_ ;_ @_ "/>
    <numFmt numFmtId="166" formatCode="0.0%"/>
    <numFmt numFmtId="167" formatCode="_ * #,##0_ ;_ * \-#,##0_ ;_ * &quot;-&quot;??_ ;_ @_ "/>
    <numFmt numFmtId="168" formatCode="_-* #,##0.0\ _k_r_._-;\-* #,##0.0\ _k_r_._-;_-* &quot;-&quot;?\ _k_r_._-;_-@_-"/>
  </numFmts>
  <fonts count="3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/>
    <xf numFmtId="165" fontId="0" fillId="0" borderId="2" xfId="1" applyNumberFormat="1" applyFont="1" applyBorder="1"/>
    <xf numFmtId="164" fontId="0" fillId="0" borderId="2" xfId="1" applyFont="1" applyBorder="1"/>
    <xf numFmtId="0" fontId="0" fillId="0" borderId="3" xfId="0" applyBorder="1"/>
    <xf numFmtId="165" fontId="0" fillId="0" borderId="0" xfId="1" applyNumberFormat="1" applyFont="1"/>
    <xf numFmtId="9" fontId="0" fillId="0" borderId="0" xfId="2" applyFont="1"/>
    <xf numFmtId="164" fontId="0" fillId="0" borderId="0" xfId="1" applyFont="1"/>
    <xf numFmtId="166" fontId="0" fillId="0" borderId="0" xfId="2" applyNumberFormat="1" applyFont="1"/>
    <xf numFmtId="0" fontId="0" fillId="0" borderId="5" xfId="0" applyBorder="1"/>
    <xf numFmtId="167" fontId="0" fillId="0" borderId="0" xfId="1" applyNumberFormat="1" applyFont="1"/>
    <xf numFmtId="0" fontId="2" fillId="0" borderId="7" xfId="0" applyFont="1" applyBorder="1"/>
    <xf numFmtId="165" fontId="2" fillId="0" borderId="7" xfId="0" applyNumberFormat="1" applyFont="1" applyBorder="1"/>
    <xf numFmtId="165" fontId="2" fillId="0" borderId="7" xfId="1" applyNumberFormat="1" applyFont="1" applyBorder="1"/>
    <xf numFmtId="9" fontId="2" fillId="0" borderId="7" xfId="0" applyNumberFormat="1" applyFont="1" applyBorder="1"/>
    <xf numFmtId="164" fontId="2" fillId="0" borderId="7" xfId="1" applyFont="1" applyBorder="1"/>
    <xf numFmtId="166" fontId="2" fillId="0" borderId="7" xfId="2" applyNumberFormat="1" applyFont="1" applyBorder="1"/>
    <xf numFmtId="0" fontId="0" fillId="0" borderId="7" xfId="0" applyBorder="1"/>
    <xf numFmtId="0" fontId="0" fillId="0" borderId="8" xfId="0" applyBorder="1"/>
    <xf numFmtId="0" fontId="2" fillId="0" borderId="0" xfId="0" applyFont="1" applyAlignment="1">
      <alignment horizontal="center" vertical="center"/>
    </xf>
    <xf numFmtId="9" fontId="0" fillId="0" borderId="2" xfId="2" applyFont="1" applyBorder="1"/>
    <xf numFmtId="167" fontId="0" fillId="0" borderId="2" xfId="1" applyNumberFormat="1" applyFont="1" applyBorder="1"/>
    <xf numFmtId="166" fontId="0" fillId="0" borderId="2" xfId="2" applyNumberFormat="1" applyFont="1" applyBorder="1"/>
    <xf numFmtId="166" fontId="0" fillId="0" borderId="0" xfId="0" applyNumberFormat="1"/>
    <xf numFmtId="166" fontId="2" fillId="0" borderId="7" xfId="0" applyNumberFormat="1" applyFont="1" applyBorder="1"/>
    <xf numFmtId="166" fontId="0" fillId="0" borderId="7" xfId="0" applyNumberFormat="1" applyBorder="1"/>
    <xf numFmtId="165" fontId="0" fillId="0" borderId="0" xfId="0" applyNumberFormat="1"/>
    <xf numFmtId="43" fontId="0" fillId="0" borderId="2" xfId="0" applyNumberFormat="1" applyBorder="1"/>
    <xf numFmtId="168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04885-022B-4464-B236-D92DF64BB6D5}">
  <dimension ref="A2:W62"/>
  <sheetViews>
    <sheetView tabSelected="1" topLeftCell="A4" workbookViewId="0">
      <pane xSplit="3" ySplit="1" topLeftCell="D5" activePane="bottomRight" state="frozen"/>
      <selection activeCell="A4" sqref="A4"/>
      <selection pane="topRight" activeCell="D4" sqref="D4"/>
      <selection pane="bottomLeft" activeCell="A5" sqref="A5"/>
      <selection pane="bottomRight" activeCell="N24" sqref="N24"/>
    </sheetView>
  </sheetViews>
  <sheetFormatPr defaultRowHeight="12.75" x14ac:dyDescent="0.2"/>
  <cols>
    <col min="6" max="6" width="10.7109375" bestFit="1" customWidth="1"/>
    <col min="21" max="23" width="9.85546875" bestFit="1" customWidth="1"/>
  </cols>
  <sheetData>
    <row r="2" spans="1:23" x14ac:dyDescent="0.2">
      <c r="B2" s="1" t="s">
        <v>0</v>
      </c>
      <c r="C2" s="1"/>
    </row>
    <row r="4" spans="1:23" ht="51.75" thickBot="1" x14ac:dyDescent="0.25">
      <c r="A4" s="1" t="s">
        <v>1</v>
      </c>
      <c r="B4" s="1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1" t="s">
        <v>14</v>
      </c>
      <c r="O4" s="1" t="s">
        <v>34</v>
      </c>
      <c r="P4" s="1"/>
      <c r="Q4" s="1"/>
    </row>
    <row r="5" spans="1:23" x14ac:dyDescent="0.2">
      <c r="A5" s="31">
        <v>2016</v>
      </c>
      <c r="B5" s="3" t="s">
        <v>15</v>
      </c>
      <c r="C5" s="3" t="s">
        <v>16</v>
      </c>
      <c r="D5" s="4">
        <v>26.3</v>
      </c>
      <c r="E5" s="4"/>
      <c r="F5" s="3"/>
      <c r="G5" s="3"/>
      <c r="H5" s="3"/>
      <c r="I5" s="3">
        <v>19</v>
      </c>
      <c r="J5" s="5">
        <f>+D5/I5</f>
        <v>1.3842105263157896</v>
      </c>
      <c r="K5" s="5"/>
      <c r="L5" s="5"/>
      <c r="M5" s="3"/>
      <c r="N5" s="3"/>
      <c r="O5" s="3"/>
      <c r="P5" s="3"/>
      <c r="Q5" s="6"/>
    </row>
    <row r="6" spans="1:23" x14ac:dyDescent="0.2">
      <c r="A6" s="32"/>
      <c r="B6" t="s">
        <v>17</v>
      </c>
      <c r="C6" t="s">
        <v>16</v>
      </c>
      <c r="D6" s="7">
        <v>33.1</v>
      </c>
      <c r="E6" s="7"/>
      <c r="G6" s="8">
        <f>+(D6/D5)-1</f>
        <v>0.2585551330798479</v>
      </c>
      <c r="I6">
        <v>20</v>
      </c>
      <c r="J6" s="9">
        <f t="shared" ref="J6:J16" si="0">+D6/I6</f>
        <v>1.655</v>
      </c>
      <c r="K6" s="9"/>
      <c r="L6" s="9"/>
      <c r="M6" s="10">
        <f t="shared" ref="M6:M16" si="1">+(J6/J5)-1</f>
        <v>0.19562737642585537</v>
      </c>
      <c r="Q6" s="11"/>
    </row>
    <row r="7" spans="1:23" x14ac:dyDescent="0.2">
      <c r="A7" s="32"/>
      <c r="B7" t="s">
        <v>18</v>
      </c>
      <c r="C7" t="s">
        <v>16</v>
      </c>
      <c r="D7" s="7">
        <f>+D8*(1+9%)</f>
        <v>35.970000000000006</v>
      </c>
      <c r="E7" s="7">
        <f>SUM(D5:D7)</f>
        <v>95.37</v>
      </c>
      <c r="G7" s="8">
        <f t="shared" ref="G7:G16" si="2">+(D7/D6)-1</f>
        <v>8.670694864048345E-2</v>
      </c>
      <c r="I7">
        <v>23</v>
      </c>
      <c r="J7" s="9">
        <f t="shared" si="0"/>
        <v>1.5639130434782611</v>
      </c>
      <c r="K7" s="9">
        <f>SUM(D5:D7)/SUM(I5:I7)</f>
        <v>1.538225806451613</v>
      </c>
      <c r="L7" s="12">
        <f>+J7*SUM(I7:I9)</f>
        <v>101.65434782608698</v>
      </c>
      <c r="M7" s="10">
        <f t="shared" si="1"/>
        <v>-5.5037435964796932E-2</v>
      </c>
      <c r="Q7" s="11"/>
    </row>
    <row r="8" spans="1:23" x14ac:dyDescent="0.2">
      <c r="A8" s="32"/>
      <c r="B8" t="s">
        <v>19</v>
      </c>
      <c r="C8" t="s">
        <v>16</v>
      </c>
      <c r="D8" s="7">
        <v>33</v>
      </c>
      <c r="E8" s="7"/>
      <c r="G8" s="8">
        <f t="shared" si="2"/>
        <v>-8.2568807339449712E-2</v>
      </c>
      <c r="I8">
        <v>21</v>
      </c>
      <c r="J8" s="9">
        <f t="shared" si="0"/>
        <v>1.5714285714285714</v>
      </c>
      <c r="K8" s="9"/>
      <c r="L8" s="12">
        <f t="shared" ref="L8:L14" si="3">+J8*SUM(I8:I10)</f>
        <v>100.57142857142857</v>
      </c>
      <c r="M8" s="10">
        <f t="shared" si="1"/>
        <v>4.8055919615550557E-3</v>
      </c>
      <c r="Q8" s="11"/>
    </row>
    <row r="9" spans="1:23" x14ac:dyDescent="0.2">
      <c r="A9" s="32"/>
      <c r="B9" t="s">
        <v>20</v>
      </c>
      <c r="C9" t="s">
        <v>16</v>
      </c>
      <c r="D9" s="7">
        <v>35.700000000000003</v>
      </c>
      <c r="E9" s="7"/>
      <c r="G9" s="8">
        <f t="shared" si="2"/>
        <v>8.1818181818182012E-2</v>
      </c>
      <c r="I9">
        <v>21</v>
      </c>
      <c r="J9" s="9">
        <f t="shared" si="0"/>
        <v>1.7000000000000002</v>
      </c>
      <c r="K9" s="9"/>
      <c r="L9" s="12">
        <f t="shared" si="3"/>
        <v>107.10000000000001</v>
      </c>
      <c r="M9" s="10">
        <f t="shared" si="1"/>
        <v>8.1818181818182012E-2</v>
      </c>
      <c r="Q9" s="11"/>
    </row>
    <row r="10" spans="1:23" x14ac:dyDescent="0.2">
      <c r="A10" s="32"/>
      <c r="B10" t="s">
        <v>21</v>
      </c>
      <c r="C10" t="s">
        <v>16</v>
      </c>
      <c r="D10" s="7">
        <v>38.1</v>
      </c>
      <c r="E10" s="7">
        <f>SUM(D8:D10)</f>
        <v>106.80000000000001</v>
      </c>
      <c r="G10" s="8">
        <f t="shared" si="2"/>
        <v>6.7226890756302504E-2</v>
      </c>
      <c r="H10" s="8">
        <f>+(E10/E7)-1</f>
        <v>0.11984900912236562</v>
      </c>
      <c r="I10">
        <v>22</v>
      </c>
      <c r="J10" s="9">
        <f t="shared" si="0"/>
        <v>1.7318181818181819</v>
      </c>
      <c r="K10" s="9">
        <f>SUM(D8:D10)/SUM(I8:I10)</f>
        <v>1.6687500000000002</v>
      </c>
      <c r="L10" s="12">
        <f t="shared" si="3"/>
        <v>112.56818181818183</v>
      </c>
      <c r="M10" s="10">
        <f t="shared" si="1"/>
        <v>1.8716577540106805E-2</v>
      </c>
      <c r="Q10" s="11"/>
      <c r="U10" s="7"/>
      <c r="V10" s="7"/>
      <c r="W10" s="7"/>
    </row>
    <row r="11" spans="1:23" x14ac:dyDescent="0.2">
      <c r="A11" s="32"/>
      <c r="B11" t="s">
        <v>22</v>
      </c>
      <c r="C11" t="s">
        <v>16</v>
      </c>
      <c r="D11" s="7">
        <v>37</v>
      </c>
      <c r="E11" s="7"/>
      <c r="G11" s="8">
        <f t="shared" si="2"/>
        <v>-2.8871391076115471E-2</v>
      </c>
      <c r="I11">
        <v>20</v>
      </c>
      <c r="J11" s="9">
        <f t="shared" si="0"/>
        <v>1.85</v>
      </c>
      <c r="K11" s="9"/>
      <c r="L11" s="12">
        <f t="shared" si="3"/>
        <v>118.4</v>
      </c>
      <c r="M11" s="10">
        <f t="shared" si="1"/>
        <v>6.8241469816272993E-2</v>
      </c>
      <c r="Q11" s="11"/>
      <c r="U11" s="7"/>
      <c r="V11" s="7"/>
      <c r="W11" s="7"/>
    </row>
    <row r="12" spans="1:23" x14ac:dyDescent="0.2">
      <c r="A12" s="32"/>
      <c r="B12" t="s">
        <v>23</v>
      </c>
      <c r="C12" t="s">
        <v>16</v>
      </c>
      <c r="D12" s="7">
        <v>46.5</v>
      </c>
      <c r="E12" s="7"/>
      <c r="G12" s="8">
        <f>+(D12/D11)-1</f>
        <v>0.2567567567567568</v>
      </c>
      <c r="I12">
        <v>23</v>
      </c>
      <c r="J12" s="9">
        <f t="shared" si="0"/>
        <v>2.0217391304347827</v>
      </c>
      <c r="K12" s="9"/>
      <c r="L12" s="12">
        <f t="shared" si="3"/>
        <v>129.39130434782609</v>
      </c>
      <c r="M12" s="10">
        <f>+(J12/J11)-1</f>
        <v>9.2831962397179835E-2</v>
      </c>
      <c r="Q12" s="11"/>
      <c r="U12" s="7"/>
      <c r="V12" s="7"/>
      <c r="W12" s="7"/>
    </row>
    <row r="13" spans="1:23" x14ac:dyDescent="0.2">
      <c r="A13" s="32"/>
      <c r="B13" t="s">
        <v>24</v>
      </c>
      <c r="C13" t="s">
        <v>16</v>
      </c>
      <c r="D13" s="7">
        <v>43.7</v>
      </c>
      <c r="E13" s="7">
        <f>SUM(D11:D13)</f>
        <v>127.2</v>
      </c>
      <c r="G13" s="8">
        <f t="shared" si="2"/>
        <v>-6.0215053763440829E-2</v>
      </c>
      <c r="H13" s="8">
        <f>+(E13/E10)-1</f>
        <v>0.19101123595505598</v>
      </c>
      <c r="I13">
        <v>21</v>
      </c>
      <c r="J13" s="9">
        <f t="shared" si="0"/>
        <v>2.0809523809523811</v>
      </c>
      <c r="K13" s="9">
        <f>SUM(D11:D13)/SUM(I11:I13)</f>
        <v>1.9875</v>
      </c>
      <c r="L13" s="12">
        <f t="shared" si="3"/>
        <v>126.93809523809524</v>
      </c>
      <c r="M13" s="10">
        <f t="shared" si="1"/>
        <v>2.9288274449564833E-2</v>
      </c>
      <c r="Q13" s="11"/>
    </row>
    <row r="14" spans="1:23" x14ac:dyDescent="0.2">
      <c r="A14" s="32"/>
      <c r="B14" t="s">
        <v>25</v>
      </c>
      <c r="C14" t="s">
        <v>16</v>
      </c>
      <c r="D14" s="7">
        <f>+D15*(1-8.1%)</f>
        <v>46.409500000000001</v>
      </c>
      <c r="E14" s="7"/>
      <c r="G14" s="8">
        <f t="shared" si="2"/>
        <v>6.2002288329519484E-2</v>
      </c>
      <c r="I14">
        <v>20</v>
      </c>
      <c r="J14" s="9">
        <f t="shared" si="0"/>
        <v>2.3204750000000001</v>
      </c>
      <c r="K14" s="9"/>
      <c r="L14" s="12">
        <f t="shared" si="3"/>
        <v>141.54897500000001</v>
      </c>
      <c r="M14" s="10">
        <f t="shared" si="1"/>
        <v>0.11510240274599548</v>
      </c>
      <c r="Q14" s="11"/>
      <c r="U14" s="9"/>
      <c r="V14" s="9"/>
      <c r="W14" s="9"/>
    </row>
    <row r="15" spans="1:23" x14ac:dyDescent="0.2">
      <c r="A15" s="32"/>
      <c r="B15" t="s">
        <v>26</v>
      </c>
      <c r="C15" t="s">
        <v>16</v>
      </c>
      <c r="D15" s="7">
        <v>50.5</v>
      </c>
      <c r="E15" s="7"/>
      <c r="G15" s="8">
        <f t="shared" si="2"/>
        <v>8.8139281828073957E-2</v>
      </c>
      <c r="I15">
        <v>20</v>
      </c>
      <c r="J15" s="9">
        <f t="shared" si="0"/>
        <v>2.5249999999999999</v>
      </c>
      <c r="K15" s="9"/>
      <c r="L15" s="12">
        <f>+J15*(I15+I16+I19)</f>
        <v>154.02500000000001</v>
      </c>
      <c r="M15" s="10">
        <f t="shared" si="1"/>
        <v>8.8139281828073957E-2</v>
      </c>
      <c r="N15" t="s">
        <v>27</v>
      </c>
      <c r="Q15" s="11"/>
      <c r="U15" s="12"/>
      <c r="V15" s="12"/>
      <c r="W15" s="12"/>
    </row>
    <row r="16" spans="1:23" x14ac:dyDescent="0.2">
      <c r="A16" s="32"/>
      <c r="B16" t="s">
        <v>28</v>
      </c>
      <c r="C16" t="s">
        <v>16</v>
      </c>
      <c r="D16" s="7">
        <f>60.95*(1-10.5%)</f>
        <v>54.550250000000005</v>
      </c>
      <c r="E16" s="7">
        <f>SUM(D14:D16)</f>
        <v>151.45975000000001</v>
      </c>
      <c r="G16" s="8">
        <f t="shared" si="2"/>
        <v>8.0202970297029719E-2</v>
      </c>
      <c r="H16" s="8">
        <f>+(E16/E13)-1</f>
        <v>0.19072130503144669</v>
      </c>
      <c r="I16">
        <v>21</v>
      </c>
      <c r="J16" s="9">
        <f t="shared" si="0"/>
        <v>2.5976309523809524</v>
      </c>
      <c r="K16" s="9">
        <f>SUM(D14:D16)/SUM(I14:I16)</f>
        <v>2.4829467213114755</v>
      </c>
      <c r="L16" s="12">
        <f>+J16*(I16+I19+I20)</f>
        <v>155.85785714285714</v>
      </c>
      <c r="M16" s="10">
        <f t="shared" si="1"/>
        <v>2.8764733616218896E-2</v>
      </c>
      <c r="Q16" s="11"/>
      <c r="U16" s="10"/>
      <c r="V16" s="10"/>
      <c r="W16" s="10"/>
    </row>
    <row r="17" spans="1:17" ht="13.5" thickBot="1" x14ac:dyDescent="0.25">
      <c r="A17" s="33"/>
      <c r="B17" s="13" t="s">
        <v>29</v>
      </c>
      <c r="C17" s="13" t="s">
        <v>16</v>
      </c>
      <c r="D17" s="14">
        <f>SUM(D5:D16)</f>
        <v>480.82974999999993</v>
      </c>
      <c r="E17" s="14">
        <f>SUM(E5:E16)</f>
        <v>480.82974999999999</v>
      </c>
      <c r="F17" s="15">
        <v>488</v>
      </c>
      <c r="G17" s="16">
        <f>AVERAGE(G5:G16)</f>
        <v>7.3613927211562707E-2</v>
      </c>
      <c r="H17" s="16">
        <f>AVERAGE(H5:H16)</f>
        <v>0.16719385003628942</v>
      </c>
      <c r="I17" s="13">
        <f>SUM(I5:I16)</f>
        <v>251</v>
      </c>
      <c r="J17" s="17">
        <f>AVERAGE(J5:J16)</f>
        <v>1.9168473155674099</v>
      </c>
      <c r="K17" s="17"/>
      <c r="L17" s="17"/>
      <c r="M17" s="18">
        <f>AVERAGE(M5:M16)</f>
        <v>6.0754401512200754E-2</v>
      </c>
      <c r="N17" s="19"/>
      <c r="O17" s="19"/>
      <c r="P17" s="19"/>
      <c r="Q17" s="20"/>
    </row>
    <row r="18" spans="1:17" ht="13.5" thickBot="1" x14ac:dyDescent="0.25">
      <c r="A18" s="21"/>
      <c r="E18" s="7"/>
      <c r="F18" s="7"/>
    </row>
    <row r="19" spans="1:17" x14ac:dyDescent="0.2">
      <c r="A19" s="31">
        <f>+A5+1</f>
        <v>2017</v>
      </c>
      <c r="B19" s="3" t="s">
        <v>15</v>
      </c>
      <c r="C19" s="3" t="s">
        <v>16</v>
      </c>
      <c r="D19" s="4">
        <v>62.14</v>
      </c>
      <c r="E19" s="4"/>
      <c r="F19" s="3"/>
      <c r="G19" s="22">
        <f>+(D19/D16)-1</f>
        <v>0.13913318454085899</v>
      </c>
      <c r="H19" s="3"/>
      <c r="I19" s="3">
        <v>20</v>
      </c>
      <c r="J19" s="5">
        <f>+D19/I19</f>
        <v>3.1070000000000002</v>
      </c>
      <c r="K19" s="5"/>
      <c r="L19" s="23">
        <f t="shared" ref="L19:L20" si="4">+J19*SUM(I19:I21)</f>
        <v>192.63400000000001</v>
      </c>
      <c r="M19" s="24">
        <f>+(J19/J16)-1</f>
        <v>0.19608984376790217</v>
      </c>
      <c r="N19" s="3"/>
      <c r="O19" s="3"/>
      <c r="P19" s="3"/>
      <c r="Q19" s="6"/>
    </row>
    <row r="20" spans="1:17" x14ac:dyDescent="0.2">
      <c r="A20" s="32"/>
      <c r="B20" t="s">
        <v>17</v>
      </c>
      <c r="C20" t="s">
        <v>16</v>
      </c>
      <c r="D20" s="7">
        <v>62.04</v>
      </c>
      <c r="E20" s="7"/>
      <c r="G20" s="8">
        <f t="shared" ref="G20:G30" si="5">+(D20/D19)-1</f>
        <v>-1.6092693916961442E-3</v>
      </c>
      <c r="I20">
        <v>19</v>
      </c>
      <c r="J20" s="9">
        <f t="shared" ref="J20:J30" si="6">+D20/I20</f>
        <v>3.2652631578947369</v>
      </c>
      <c r="K20" s="9"/>
      <c r="L20" s="12">
        <f t="shared" si="4"/>
        <v>202.44631578947369</v>
      </c>
      <c r="M20" s="10">
        <f t="shared" ref="M20:M30" si="7">+(J20/J19)-1</f>
        <v>5.0937611166635532E-2</v>
      </c>
      <c r="Q20" s="11"/>
    </row>
    <row r="21" spans="1:17" x14ac:dyDescent="0.2">
      <c r="A21" s="32"/>
      <c r="B21" t="s">
        <v>18</v>
      </c>
      <c r="C21" t="s">
        <v>16</v>
      </c>
      <c r="D21" s="7">
        <f>+D22/(1-0.079)</f>
        <v>77.198697068403902</v>
      </c>
      <c r="E21" s="7">
        <f>SUM(D19:D21)</f>
        <v>201.37869706840391</v>
      </c>
      <c r="F21">
        <v>201</v>
      </c>
      <c r="G21" s="8">
        <f t="shared" si="5"/>
        <v>0.24433747692462782</v>
      </c>
      <c r="H21" s="8">
        <f>+(E21/E16)-1</f>
        <v>0.32958556361280067</v>
      </c>
      <c r="I21">
        <v>23</v>
      </c>
      <c r="J21" s="9">
        <f t="shared" si="6"/>
        <v>3.3564650899306043</v>
      </c>
      <c r="K21" s="9">
        <f>SUM(D19:D21)/SUM(I19:I21)</f>
        <v>3.2480435011032887</v>
      </c>
      <c r="L21" s="12">
        <f>+J21*SUM(I21:I23)</f>
        <v>218.17023084548927</v>
      </c>
      <c r="M21" s="10">
        <f t="shared" si="7"/>
        <v>2.7930959198605443E-2</v>
      </c>
      <c r="O21" s="8">
        <f>+F21/E21</f>
        <v>0.99811947800876244</v>
      </c>
      <c r="Q21" s="11"/>
    </row>
    <row r="22" spans="1:17" x14ac:dyDescent="0.2">
      <c r="A22" s="32"/>
      <c r="B22" t="s">
        <v>19</v>
      </c>
      <c r="C22" t="s">
        <v>16</v>
      </c>
      <c r="D22" s="7">
        <v>71.099999999999994</v>
      </c>
      <c r="E22" s="7"/>
      <c r="G22" s="8">
        <f t="shared" si="5"/>
        <v>-7.8999999999999959E-2</v>
      </c>
      <c r="I22">
        <v>20</v>
      </c>
      <c r="J22" s="9">
        <f t="shared" si="6"/>
        <v>3.5549999999999997</v>
      </c>
      <c r="K22" s="9"/>
      <c r="L22" s="12">
        <f t="shared" ref="L22:L28" si="8">+J22*SUM(I22:I24)</f>
        <v>227.51999999999998</v>
      </c>
      <c r="M22" s="10">
        <f t="shared" si="7"/>
        <v>5.9150000000000036E-2</v>
      </c>
      <c r="Q22" s="11"/>
    </row>
    <row r="23" spans="1:17" x14ac:dyDescent="0.2">
      <c r="A23" s="32"/>
      <c r="B23" t="s">
        <v>20</v>
      </c>
      <c r="C23" t="s">
        <v>16</v>
      </c>
      <c r="D23" s="7">
        <v>80.5</v>
      </c>
      <c r="E23" s="7"/>
      <c r="G23" s="8">
        <f t="shared" si="5"/>
        <v>0.13220815752461323</v>
      </c>
      <c r="I23">
        <v>22</v>
      </c>
      <c r="J23" s="9">
        <f t="shared" si="6"/>
        <v>3.6590909090909092</v>
      </c>
      <c r="K23" s="9"/>
      <c r="L23" s="12">
        <f t="shared" si="8"/>
        <v>234.18181818181819</v>
      </c>
      <c r="M23" s="10">
        <f t="shared" si="7"/>
        <v>2.9280143204194031E-2</v>
      </c>
      <c r="Q23" s="11"/>
    </row>
    <row r="24" spans="1:17" x14ac:dyDescent="0.2">
      <c r="A24" s="32"/>
      <c r="B24" t="s">
        <v>21</v>
      </c>
      <c r="C24" t="s">
        <v>16</v>
      </c>
      <c r="D24" s="7">
        <v>81.5</v>
      </c>
      <c r="E24" s="7">
        <f>SUM(D22:D24)</f>
        <v>233.1</v>
      </c>
      <c r="F24">
        <v>212</v>
      </c>
      <c r="G24" s="8">
        <f t="shared" si="5"/>
        <v>1.2422360248447228E-2</v>
      </c>
      <c r="H24" s="8">
        <f>+(E24/E21)-1</f>
        <v>0.15752064837732593</v>
      </c>
      <c r="I24">
        <v>22</v>
      </c>
      <c r="J24" s="9">
        <f t="shared" si="6"/>
        <v>3.7045454545454546</v>
      </c>
      <c r="K24" s="9">
        <f>SUM(D22:D24)/SUM(I22:I24)</f>
        <v>3.6421874999999999</v>
      </c>
      <c r="L24" s="12">
        <f t="shared" si="8"/>
        <v>240.79545454545456</v>
      </c>
      <c r="M24" s="10">
        <f t="shared" si="7"/>
        <v>1.2422360248447228E-2</v>
      </c>
      <c r="N24" t="s">
        <v>30</v>
      </c>
      <c r="O24" s="8">
        <f>+F24/E24</f>
        <v>0.90948090948090954</v>
      </c>
      <c r="Q24" s="11"/>
    </row>
    <row r="25" spans="1:17" x14ac:dyDescent="0.2">
      <c r="A25" s="32"/>
      <c r="B25" t="s">
        <v>22</v>
      </c>
      <c r="C25" t="s">
        <v>16</v>
      </c>
      <c r="D25" s="7">
        <v>73.02</v>
      </c>
      <c r="E25" s="7"/>
      <c r="G25" s="8">
        <f t="shared" si="5"/>
        <v>-0.10404907975460131</v>
      </c>
      <c r="I25">
        <v>20</v>
      </c>
      <c r="J25" s="9">
        <f t="shared" si="6"/>
        <v>3.6509999999999998</v>
      </c>
      <c r="K25" s="9"/>
      <c r="L25" s="12">
        <f t="shared" si="8"/>
        <v>230.01299999999998</v>
      </c>
      <c r="M25" s="10">
        <f>+(J25/J24)-1</f>
        <v>-1.4453987730061457E-2</v>
      </c>
      <c r="Q25" s="11"/>
    </row>
    <row r="26" spans="1:17" x14ac:dyDescent="0.2">
      <c r="A26" s="32"/>
      <c r="B26" t="s">
        <v>23</v>
      </c>
      <c r="C26" t="s">
        <v>16</v>
      </c>
      <c r="D26" s="7">
        <v>91.4</v>
      </c>
      <c r="E26" s="7"/>
      <c r="G26" s="8">
        <f t="shared" si="5"/>
        <v>0.25171185976444832</v>
      </c>
      <c r="I26">
        <v>23</v>
      </c>
      <c r="J26" s="9">
        <f t="shared" si="6"/>
        <v>3.973913043478261</v>
      </c>
      <c r="K26" s="9"/>
      <c r="L26" s="12">
        <f t="shared" si="8"/>
        <v>254.33043478260871</v>
      </c>
      <c r="M26" s="10">
        <f t="shared" si="7"/>
        <v>8.8445095447346356E-2</v>
      </c>
      <c r="Q26" s="11"/>
    </row>
    <row r="27" spans="1:17" x14ac:dyDescent="0.2">
      <c r="A27" s="32"/>
      <c r="B27" t="s">
        <v>24</v>
      </c>
      <c r="C27" t="s">
        <v>16</v>
      </c>
      <c r="D27" s="7">
        <v>77.3</v>
      </c>
      <c r="E27" s="7">
        <f>SUM(D25:D27)</f>
        <v>241.72000000000003</v>
      </c>
      <c r="F27">
        <v>230</v>
      </c>
      <c r="G27" s="8">
        <f t="shared" si="5"/>
        <v>-0.15426695842450777</v>
      </c>
      <c r="H27" s="8">
        <f>+(E27/E24)-1</f>
        <v>3.6979836979837089E-2</v>
      </c>
      <c r="I27">
        <v>20</v>
      </c>
      <c r="J27" s="9">
        <f t="shared" si="6"/>
        <v>3.8649999999999998</v>
      </c>
      <c r="K27" s="9">
        <f>SUM(D25:D27)/SUM(I25:I27)</f>
        <v>3.8368253968253971</v>
      </c>
      <c r="L27" s="12">
        <f t="shared" si="8"/>
        <v>235.76499999999999</v>
      </c>
      <c r="M27" s="10">
        <f t="shared" si="7"/>
        <v>-2.7407002188183927E-2</v>
      </c>
      <c r="O27" s="8">
        <f>+F27/E27</f>
        <v>0.95151414860168781</v>
      </c>
      <c r="Q27" s="11"/>
    </row>
    <row r="28" spans="1:17" x14ac:dyDescent="0.2">
      <c r="A28" s="32"/>
      <c r="B28" t="s">
        <v>25</v>
      </c>
      <c r="C28" t="s">
        <v>16</v>
      </c>
      <c r="D28" s="7">
        <v>90.7</v>
      </c>
      <c r="E28" s="7"/>
      <c r="G28" s="8">
        <f t="shared" si="5"/>
        <v>0.17335058214747745</v>
      </c>
      <c r="I28">
        <v>21</v>
      </c>
      <c r="J28" s="9">
        <f t="shared" si="6"/>
        <v>4.3190476190476188</v>
      </c>
      <c r="K28" s="9"/>
      <c r="L28" s="12">
        <f t="shared" si="8"/>
        <v>263.46190476190475</v>
      </c>
      <c r="M28" s="10">
        <f t="shared" si="7"/>
        <v>0.11747674490235949</v>
      </c>
      <c r="Q28" s="11"/>
    </row>
    <row r="29" spans="1:17" x14ac:dyDescent="0.2">
      <c r="A29" s="32"/>
      <c r="B29" t="s">
        <v>26</v>
      </c>
      <c r="C29" t="s">
        <v>16</v>
      </c>
      <c r="D29" s="7">
        <v>92</v>
      </c>
      <c r="E29" s="7"/>
      <c r="G29" s="8">
        <f t="shared" si="5"/>
        <v>1.4332965821389099E-2</v>
      </c>
      <c r="I29">
        <v>20</v>
      </c>
      <c r="J29" s="9">
        <f t="shared" si="6"/>
        <v>4.5999999999999996</v>
      </c>
      <c r="K29" s="9"/>
      <c r="L29" s="12">
        <f>+J29*(I29+I30+I33)</f>
        <v>280.59999999999997</v>
      </c>
      <c r="M29" s="10">
        <f t="shared" si="7"/>
        <v>6.5049614112458576E-2</v>
      </c>
      <c r="Q29" s="11"/>
    </row>
    <row r="30" spans="1:17" x14ac:dyDescent="0.2">
      <c r="A30" s="32"/>
      <c r="B30" t="s">
        <v>28</v>
      </c>
      <c r="C30" t="s">
        <v>16</v>
      </c>
      <c r="D30" s="7">
        <v>87.8</v>
      </c>
      <c r="E30" s="7">
        <f>SUM(D28:D30)</f>
        <v>270.5</v>
      </c>
      <c r="F30">
        <v>241</v>
      </c>
      <c r="G30" s="8">
        <f t="shared" si="5"/>
        <v>-4.5652173913043548E-2</v>
      </c>
      <c r="H30" s="8">
        <f>+(E30/E27)-1</f>
        <v>0.11906337911633291</v>
      </c>
      <c r="I30">
        <v>20</v>
      </c>
      <c r="J30" s="9">
        <f t="shared" si="6"/>
        <v>4.3899999999999997</v>
      </c>
      <c r="K30" s="9">
        <f>SUM(D28:D30)/SUM(I28:I30)</f>
        <v>4.4344262295081966</v>
      </c>
      <c r="L30" s="12">
        <f>+J30*(I30+I33+I34)</f>
        <v>263.39999999999998</v>
      </c>
      <c r="M30" s="10">
        <f t="shared" si="7"/>
        <v>-4.5652173913043437E-2</v>
      </c>
      <c r="N30" s="25"/>
      <c r="O30" s="8">
        <f>+F30/E30</f>
        <v>0.89094269870609977</v>
      </c>
      <c r="Q30" s="11"/>
    </row>
    <row r="31" spans="1:17" ht="13.5" thickBot="1" x14ac:dyDescent="0.25">
      <c r="A31" s="33"/>
      <c r="B31" s="13" t="s">
        <v>29</v>
      </c>
      <c r="C31" s="13" t="s">
        <v>16</v>
      </c>
      <c r="D31" s="14">
        <f>SUM(D19:D30)</f>
        <v>946.69869706840382</v>
      </c>
      <c r="E31" s="14">
        <f>SUM(E19:E30)</f>
        <v>946.69869706840393</v>
      </c>
      <c r="F31" s="15">
        <v>1000</v>
      </c>
      <c r="G31" s="16">
        <f>AVERAGE(G19:G30)</f>
        <v>4.8576592124001117E-2</v>
      </c>
      <c r="H31" s="16">
        <f>AVERAGE(H19:H30)</f>
        <v>0.16078735702157415</v>
      </c>
      <c r="I31" s="13">
        <f>SUM(I19:I30)</f>
        <v>250</v>
      </c>
      <c r="J31" s="17">
        <f t="shared" ref="J31" si="9">AVERAGE(J19:J30)</f>
        <v>3.7871937728322984</v>
      </c>
      <c r="K31" s="17"/>
      <c r="L31" s="17"/>
      <c r="M31" s="26">
        <f t="shared" ref="M31" si="10">AVERAGE(M19:M30)</f>
        <v>4.6605767351388334E-2</v>
      </c>
      <c r="N31" s="27"/>
      <c r="O31" s="19"/>
      <c r="P31" s="19"/>
      <c r="Q31" s="20"/>
    </row>
    <row r="32" spans="1:17" ht="13.5" thickBot="1" x14ac:dyDescent="0.25">
      <c r="N32" s="25"/>
    </row>
    <row r="33" spans="1:19" x14ac:dyDescent="0.2">
      <c r="A33" s="31">
        <f>+A19+1</f>
        <v>2018</v>
      </c>
      <c r="B33" s="3" t="s">
        <v>15</v>
      </c>
      <c r="C33" s="3" t="s">
        <v>16</v>
      </c>
      <c r="D33" s="4">
        <v>93.2</v>
      </c>
      <c r="E33" s="4"/>
      <c r="F33" s="3"/>
      <c r="G33" s="22">
        <f>+(D33/D30)-1</f>
        <v>6.1503416856492077E-2</v>
      </c>
      <c r="H33" s="3"/>
      <c r="I33" s="3">
        <v>21</v>
      </c>
      <c r="J33" s="5">
        <f>+D33/I33</f>
        <v>4.4380952380952383</v>
      </c>
      <c r="K33" s="5"/>
      <c r="L33" s="23">
        <f t="shared" ref="L33:L34" si="11">+J33*SUM(I33:I35)</f>
        <v>275.16190476190479</v>
      </c>
      <c r="M33" s="24">
        <f>+(J33/J30)-1</f>
        <v>1.0955635101421057E-2</v>
      </c>
      <c r="N33" s="3"/>
      <c r="O33" s="3"/>
      <c r="P33" s="3"/>
      <c r="Q33" s="6"/>
    </row>
    <row r="34" spans="1:19" x14ac:dyDescent="0.2">
      <c r="A34" s="32"/>
      <c r="B34" t="s">
        <v>17</v>
      </c>
      <c r="C34" t="s">
        <v>16</v>
      </c>
      <c r="D34" s="7">
        <v>90.2</v>
      </c>
      <c r="E34" s="7"/>
      <c r="G34" s="8">
        <f t="shared" ref="G34:G44" si="12">+(D34/D33)-1</f>
        <v>-3.2188841201716722E-2</v>
      </c>
      <c r="I34">
        <v>19</v>
      </c>
      <c r="J34" s="9">
        <f t="shared" ref="J34:J44" si="13">+D34/I34</f>
        <v>4.7473684210526317</v>
      </c>
      <c r="K34" s="9"/>
      <c r="L34" s="12">
        <f t="shared" si="11"/>
        <v>294.33684210526314</v>
      </c>
      <c r="M34" s="10">
        <f t="shared" ref="M34:M38" si="14">+(J34/J33)-1</f>
        <v>6.9686017619155161E-2</v>
      </c>
      <c r="Q34" s="11"/>
    </row>
    <row r="35" spans="1:19" x14ac:dyDescent="0.2">
      <c r="A35" s="32"/>
      <c r="B35" t="s">
        <v>18</v>
      </c>
      <c r="C35" t="s">
        <v>16</v>
      </c>
      <c r="D35" s="7">
        <v>108.7</v>
      </c>
      <c r="E35" s="7">
        <f>SUM(D33:D35)</f>
        <v>292.10000000000002</v>
      </c>
      <c r="F35">
        <v>264</v>
      </c>
      <c r="G35" s="8">
        <f t="shared" si="12"/>
        <v>0.20509977827050996</v>
      </c>
      <c r="H35" s="8">
        <f>+(E35/E30)-1</f>
        <v>7.9852125693160803E-2</v>
      </c>
      <c r="I35">
        <v>22</v>
      </c>
      <c r="J35" s="9">
        <f t="shared" si="13"/>
        <v>4.9409090909090914</v>
      </c>
      <c r="K35" s="9">
        <f>SUM(D33:D35)/SUM(I33:I35)</f>
        <v>4.7112903225806457</v>
      </c>
      <c r="L35" s="12">
        <f>+J35*SUM(I35:I37)</f>
        <v>321.15909090909093</v>
      </c>
      <c r="M35" s="10">
        <f t="shared" si="14"/>
        <v>4.0767990324531489E-2</v>
      </c>
      <c r="O35" s="10">
        <f>+F35/E35</f>
        <v>0.90380006846970207</v>
      </c>
      <c r="Q35" s="11"/>
    </row>
    <row r="36" spans="1:19" x14ac:dyDescent="0.2">
      <c r="A36" s="32"/>
      <c r="B36" t="s">
        <v>19</v>
      </c>
      <c r="C36" t="s">
        <v>16</v>
      </c>
      <c r="D36" s="7">
        <v>108.66</v>
      </c>
      <c r="E36" s="7"/>
      <c r="G36" s="8">
        <f t="shared" si="12"/>
        <v>-3.6798528058878954E-4</v>
      </c>
      <c r="I36">
        <v>21</v>
      </c>
      <c r="J36" s="9">
        <f t="shared" si="13"/>
        <v>5.1742857142857144</v>
      </c>
      <c r="K36" s="9"/>
      <c r="L36" s="12">
        <f t="shared" ref="L36:L42" si="15">+J36*SUM(I36:I38)</f>
        <v>331.15428571428572</v>
      </c>
      <c r="M36" s="10">
        <f t="shared" si="14"/>
        <v>4.7233539229859289E-2</v>
      </c>
      <c r="N36" t="s">
        <v>31</v>
      </c>
      <c r="Q36" s="11"/>
    </row>
    <row r="37" spans="1:19" x14ac:dyDescent="0.2">
      <c r="A37" s="32"/>
      <c r="B37" t="s">
        <v>20</v>
      </c>
      <c r="C37" t="s">
        <v>16</v>
      </c>
      <c r="D37" s="7">
        <v>122</v>
      </c>
      <c r="E37" s="7"/>
      <c r="G37" s="8">
        <f t="shared" si="12"/>
        <v>0.12276826799190133</v>
      </c>
      <c r="I37">
        <v>22</v>
      </c>
      <c r="J37" s="9">
        <f t="shared" si="13"/>
        <v>5.5454545454545459</v>
      </c>
      <c r="K37" s="9"/>
      <c r="L37" s="12">
        <f t="shared" si="15"/>
        <v>354.90909090909093</v>
      </c>
      <c r="M37" s="10">
        <f t="shared" si="14"/>
        <v>7.1733346719542235E-2</v>
      </c>
      <c r="Q37" s="11"/>
    </row>
    <row r="38" spans="1:19" x14ac:dyDescent="0.2">
      <c r="A38" s="32"/>
      <c r="B38" t="s">
        <v>21</v>
      </c>
      <c r="C38" t="s">
        <v>16</v>
      </c>
      <c r="D38" s="7">
        <v>116.1</v>
      </c>
      <c r="E38" s="7">
        <f>SUM(D36:D38)</f>
        <v>346.76</v>
      </c>
      <c r="F38">
        <v>298</v>
      </c>
      <c r="G38" s="8">
        <f t="shared" si="12"/>
        <v>-4.8360655737704983E-2</v>
      </c>
      <c r="H38" s="8">
        <f>+(E38/E35)-1</f>
        <v>0.18712769599452228</v>
      </c>
      <c r="I38">
        <v>21</v>
      </c>
      <c r="J38" s="9">
        <f t="shared" si="13"/>
        <v>5.5285714285714285</v>
      </c>
      <c r="K38" s="9">
        <f>SUM(D36:D38)/SUM(I36:I38)</f>
        <v>5.4181249999999999</v>
      </c>
      <c r="L38" s="12">
        <f t="shared" si="15"/>
        <v>359.35714285714283</v>
      </c>
      <c r="M38" s="10">
        <f t="shared" si="14"/>
        <v>-3.0444964871195745E-3</v>
      </c>
      <c r="O38" s="10">
        <f>+F38/E38</f>
        <v>0.85938401199677017</v>
      </c>
      <c r="Q38" s="11"/>
    </row>
    <row r="39" spans="1:19" x14ac:dyDescent="0.2">
      <c r="A39" s="32"/>
      <c r="B39" t="s">
        <v>22</v>
      </c>
      <c r="C39" t="s">
        <v>16</v>
      </c>
      <c r="D39" s="7">
        <f>+D38+0.35</f>
        <v>116.44999999999999</v>
      </c>
      <c r="E39" s="7"/>
      <c r="G39" s="8">
        <f t="shared" si="12"/>
        <v>3.0146425495263252E-3</v>
      </c>
      <c r="I39">
        <v>21</v>
      </c>
      <c r="J39" s="9">
        <f t="shared" si="13"/>
        <v>5.5452380952380951</v>
      </c>
      <c r="K39" s="9"/>
      <c r="L39" s="12">
        <f t="shared" si="15"/>
        <v>349.34999999999997</v>
      </c>
      <c r="M39" s="10">
        <f>+(J39/J38)-1</f>
        <v>3.0146425495263252E-3</v>
      </c>
      <c r="Q39" s="11"/>
    </row>
    <row r="40" spans="1:19" x14ac:dyDescent="0.2">
      <c r="A40" s="32"/>
      <c r="B40" t="s">
        <v>23</v>
      </c>
      <c r="C40" t="s">
        <v>16</v>
      </c>
      <c r="D40" s="7">
        <v>124.1</v>
      </c>
      <c r="E40" s="7"/>
      <c r="G40" s="8">
        <f t="shared" si="12"/>
        <v>6.5693430656934337E-2</v>
      </c>
      <c r="I40">
        <v>23</v>
      </c>
      <c r="J40" s="9">
        <f t="shared" si="13"/>
        <v>5.3956521739130432</v>
      </c>
      <c r="K40" s="9"/>
      <c r="L40" s="12">
        <f t="shared" si="15"/>
        <v>345.32173913043476</v>
      </c>
      <c r="M40" s="10">
        <f t="shared" ref="M40:M44" si="16">+(J40/J39)-1</f>
        <v>-2.6975563313233919E-2</v>
      </c>
      <c r="N40" t="s">
        <v>32</v>
      </c>
      <c r="Q40" s="11"/>
    </row>
    <row r="41" spans="1:19" x14ac:dyDescent="0.2">
      <c r="A41" s="32"/>
      <c r="B41" t="s">
        <v>24</v>
      </c>
      <c r="C41" t="s">
        <v>16</v>
      </c>
      <c r="D41" s="7">
        <v>114.3</v>
      </c>
      <c r="E41" s="7">
        <f>SUM(D39:D41)</f>
        <v>354.84999999999997</v>
      </c>
      <c r="F41">
        <v>318</v>
      </c>
      <c r="G41" s="8">
        <f t="shared" si="12"/>
        <v>-7.896857373086219E-2</v>
      </c>
      <c r="H41" s="8">
        <f>+(E41/E38)-1</f>
        <v>2.3330257238435737E-2</v>
      </c>
      <c r="I41">
        <v>19</v>
      </c>
      <c r="J41" s="9">
        <f t="shared" si="13"/>
        <v>6.0157894736842108</v>
      </c>
      <c r="K41" s="9">
        <f>SUM(D39:D41)/SUM(I39:I41)</f>
        <v>5.6325396825396821</v>
      </c>
      <c r="L41" s="12">
        <f t="shared" si="15"/>
        <v>366.96315789473687</v>
      </c>
      <c r="M41" s="10">
        <f t="shared" si="16"/>
        <v>0.11493277916790379</v>
      </c>
      <c r="O41" s="10">
        <f>+F41/E41</f>
        <v>0.89615330421304784</v>
      </c>
      <c r="Q41" s="11"/>
      <c r="S41" s="28"/>
    </row>
    <row r="42" spans="1:19" x14ac:dyDescent="0.2">
      <c r="A42" s="32"/>
      <c r="B42" t="s">
        <v>25</v>
      </c>
      <c r="C42" t="s">
        <v>16</v>
      </c>
      <c r="D42" s="7">
        <f>+D41+13.2</f>
        <v>127.5</v>
      </c>
      <c r="E42" s="7"/>
      <c r="G42" s="8">
        <f t="shared" si="12"/>
        <v>0.11548556430446189</v>
      </c>
      <c r="I42">
        <v>22</v>
      </c>
      <c r="J42" s="9">
        <f t="shared" si="13"/>
        <v>5.7954545454545459</v>
      </c>
      <c r="K42" s="9"/>
      <c r="L42" s="12">
        <f t="shared" si="15"/>
        <v>359.31818181818187</v>
      </c>
      <c r="M42" s="10">
        <f t="shared" si="16"/>
        <v>-3.6626103555237433E-2</v>
      </c>
      <c r="Q42" s="11"/>
    </row>
    <row r="43" spans="1:19" x14ac:dyDescent="0.2">
      <c r="A43" s="32"/>
      <c r="B43" t="s">
        <v>26</v>
      </c>
      <c r="C43" t="s">
        <v>16</v>
      </c>
      <c r="D43" s="7">
        <v>127.33</v>
      </c>
      <c r="E43" s="7"/>
      <c r="G43" s="8">
        <f t="shared" si="12"/>
        <v>-1.3333333333332975E-3</v>
      </c>
      <c r="I43">
        <v>20</v>
      </c>
      <c r="J43" s="9">
        <f t="shared" si="13"/>
        <v>6.3665000000000003</v>
      </c>
      <c r="K43" s="9"/>
      <c r="L43" s="12">
        <f>+J43*(I43+I44+I47)</f>
        <v>388.35650000000004</v>
      </c>
      <c r="M43" s="10">
        <f t="shared" si="16"/>
        <v>9.8533333333333362E-2</v>
      </c>
      <c r="Q43" s="11"/>
    </row>
    <row r="44" spans="1:19" x14ac:dyDescent="0.2">
      <c r="A44" s="32"/>
      <c r="B44" t="s">
        <v>28</v>
      </c>
      <c r="C44" t="s">
        <v>16</v>
      </c>
      <c r="D44" s="7">
        <v>119.2</v>
      </c>
      <c r="E44" s="7">
        <f>SUM(D42:D44)</f>
        <v>374.03</v>
      </c>
      <c r="F44">
        <v>323</v>
      </c>
      <c r="G44" s="8">
        <f t="shared" si="12"/>
        <v>-6.3849839001020925E-2</v>
      </c>
      <c r="H44" s="8">
        <f>+(E44/E41)-1</f>
        <v>5.4051007467944334E-2</v>
      </c>
      <c r="I44">
        <v>20</v>
      </c>
      <c r="J44" s="9">
        <f t="shared" si="13"/>
        <v>5.96</v>
      </c>
      <c r="K44" s="9">
        <f>SUM(D42:D44)/SUM(I42:I44)</f>
        <v>6.0327419354838705</v>
      </c>
      <c r="L44" s="12">
        <f>+J44*(I44+I47+I48)</f>
        <v>357.6</v>
      </c>
      <c r="M44" s="10">
        <f t="shared" si="16"/>
        <v>-6.3849839001021036E-2</v>
      </c>
      <c r="N44" s="25"/>
      <c r="O44" s="10">
        <f>+F44/E44</f>
        <v>0.86356709354864591</v>
      </c>
      <c r="Q44" s="11"/>
    </row>
    <row r="45" spans="1:19" ht="13.5" thickBot="1" x14ac:dyDescent="0.25">
      <c r="A45" s="33"/>
      <c r="B45" s="13" t="s">
        <v>29</v>
      </c>
      <c r="C45" s="13" t="s">
        <v>16</v>
      </c>
      <c r="D45" s="14">
        <f>SUM(D33:D44)</f>
        <v>1367.74</v>
      </c>
      <c r="E45" s="14">
        <f>SUM(E33:E44)</f>
        <v>1367.74</v>
      </c>
      <c r="F45" s="15">
        <f>SUM(F33:F44)</f>
        <v>1203</v>
      </c>
      <c r="G45" s="16">
        <f>AVERAGE(G33:G44)</f>
        <v>2.9041322695383249E-2</v>
      </c>
      <c r="H45" s="16">
        <f>AVERAGE(H33:H44)</f>
        <v>8.6090271598515788E-2</v>
      </c>
      <c r="I45" s="13">
        <f>SUM(I33:I44)</f>
        <v>251</v>
      </c>
      <c r="J45" s="17">
        <f t="shared" ref="J45:M45" si="17">AVERAGE(J33:J44)</f>
        <v>5.4544432272215451</v>
      </c>
      <c r="K45" s="17"/>
      <c r="L45" s="17"/>
      <c r="M45" s="26">
        <f t="shared" si="17"/>
        <v>2.7196773474055063E-2</v>
      </c>
      <c r="N45" s="27"/>
      <c r="O45" s="19"/>
      <c r="P45" s="19"/>
      <c r="Q45" s="20"/>
    </row>
    <row r="46" spans="1:19" ht="13.5" thickBot="1" x14ac:dyDescent="0.25">
      <c r="E46" s="8"/>
      <c r="N46" s="25"/>
    </row>
    <row r="47" spans="1:19" x14ac:dyDescent="0.2">
      <c r="A47" s="31">
        <f>+A33+1</f>
        <v>2019</v>
      </c>
      <c r="B47" s="3" t="s">
        <v>15</v>
      </c>
      <c r="C47" s="3" t="s">
        <v>16</v>
      </c>
      <c r="D47" s="4">
        <v>131.30000000000001</v>
      </c>
      <c r="E47" s="4"/>
      <c r="F47" s="3"/>
      <c r="G47" s="22">
        <f>+(D47/D44)-1</f>
        <v>0.10151006711409405</v>
      </c>
      <c r="H47" s="3"/>
      <c r="I47" s="3">
        <v>21</v>
      </c>
      <c r="J47" s="5">
        <f>+D47/I47</f>
        <v>6.2523809523809533</v>
      </c>
      <c r="K47" s="5"/>
      <c r="L47" s="23">
        <f t="shared" ref="L47:L48" si="18">+J47*SUM(I47:I49)</f>
        <v>381.39523809523814</v>
      </c>
      <c r="M47" s="24">
        <f>+(J47/J44)-1</f>
        <v>4.9057206775327655E-2</v>
      </c>
      <c r="N47" s="29"/>
      <c r="O47" s="3"/>
      <c r="P47" s="3"/>
      <c r="Q47" s="6"/>
    </row>
    <row r="48" spans="1:19" x14ac:dyDescent="0.2">
      <c r="A48" s="32"/>
      <c r="B48" t="s">
        <v>17</v>
      </c>
      <c r="C48" s="1" t="s">
        <v>33</v>
      </c>
      <c r="D48" s="7">
        <f>+D47-9</f>
        <v>122.30000000000001</v>
      </c>
      <c r="E48" s="7"/>
      <c r="G48" s="8">
        <f t="shared" ref="G48:G58" si="19">+(D48/D47)-1</f>
        <v>-6.8545316070068529E-2</v>
      </c>
      <c r="I48">
        <v>19</v>
      </c>
      <c r="J48" s="9">
        <f t="shared" ref="J48:J58" si="20">+D48/I48</f>
        <v>6.4368421052631586</v>
      </c>
      <c r="K48" s="9"/>
      <c r="L48" s="12">
        <f t="shared" si="18"/>
        <v>399.08421052631581</v>
      </c>
      <c r="M48" s="10">
        <f t="shared" ref="M48:M52" si="21">+(J48/J47)-1</f>
        <v>2.9502545396240087E-2</v>
      </c>
      <c r="Q48" s="11"/>
    </row>
    <row r="49" spans="1:17" x14ac:dyDescent="0.2">
      <c r="A49" s="32"/>
      <c r="B49" t="s">
        <v>18</v>
      </c>
      <c r="C49" s="1" t="s">
        <v>33</v>
      </c>
      <c r="D49" s="7">
        <f>+D48+17</f>
        <v>139.30000000000001</v>
      </c>
      <c r="E49" s="7">
        <f>SUM(D47:D49)</f>
        <v>392.90000000000003</v>
      </c>
      <c r="F49" s="12">
        <f>+E49*0.86</f>
        <v>337.89400000000001</v>
      </c>
      <c r="G49" s="8">
        <f t="shared" si="19"/>
        <v>0.13900245298446445</v>
      </c>
      <c r="H49" s="8">
        <f>+(E49/E44)-1</f>
        <v>5.0450498623105355E-2</v>
      </c>
      <c r="I49">
        <v>21</v>
      </c>
      <c r="J49" s="9">
        <f t="shared" si="20"/>
        <v>6.6333333333333337</v>
      </c>
      <c r="K49" s="9">
        <f>SUM(D47:D49)/SUM(I47:I49)</f>
        <v>6.4409836065573778</v>
      </c>
      <c r="L49" s="12">
        <f>+J49*SUM(I49:I51)</f>
        <v>431.16666666666669</v>
      </c>
      <c r="M49" s="10">
        <f t="shared" si="21"/>
        <v>3.0526028890705881E-2</v>
      </c>
      <c r="O49" s="10">
        <f>+F49/E49</f>
        <v>0.86</v>
      </c>
      <c r="Q49" s="11"/>
    </row>
    <row r="50" spans="1:17" x14ac:dyDescent="0.2">
      <c r="A50" s="32"/>
      <c r="B50" t="s">
        <v>19</v>
      </c>
      <c r="C50" s="1" t="s">
        <v>33</v>
      </c>
      <c r="D50" s="7">
        <f>+D49+11</f>
        <v>150.30000000000001</v>
      </c>
      <c r="E50" s="7"/>
      <c r="F50" s="12"/>
      <c r="G50" s="8">
        <f t="shared" si="19"/>
        <v>7.896625987078254E-2</v>
      </c>
      <c r="I50">
        <v>22</v>
      </c>
      <c r="J50" s="9">
        <f t="shared" si="20"/>
        <v>6.831818181818182</v>
      </c>
      <c r="K50" s="9"/>
      <c r="L50" s="12">
        <f t="shared" ref="L50:L56" si="22">+J50*SUM(I50:I52)</f>
        <v>437.23636363636365</v>
      </c>
      <c r="M50" s="10">
        <f t="shared" si="21"/>
        <v>2.9922338967565132E-2</v>
      </c>
      <c r="Q50" s="11"/>
    </row>
    <row r="51" spans="1:17" x14ac:dyDescent="0.2">
      <c r="A51" s="32"/>
      <c r="B51" t="s">
        <v>20</v>
      </c>
      <c r="C51" s="1" t="s">
        <v>33</v>
      </c>
      <c r="D51" s="7">
        <f>+D50+5</f>
        <v>155.30000000000001</v>
      </c>
      <c r="E51" s="7"/>
      <c r="F51" s="12"/>
      <c r="G51" s="8">
        <f t="shared" si="19"/>
        <v>3.3266799733865593E-2</v>
      </c>
      <c r="I51">
        <v>22</v>
      </c>
      <c r="J51" s="9">
        <f t="shared" si="20"/>
        <v>7.0590909090909095</v>
      </c>
      <c r="K51" s="9"/>
      <c r="L51" s="12">
        <f t="shared" si="22"/>
        <v>451.78181818181821</v>
      </c>
      <c r="M51" s="10">
        <f t="shared" si="21"/>
        <v>3.3266799733865593E-2</v>
      </c>
      <c r="Q51" s="11"/>
    </row>
    <row r="52" spans="1:17" x14ac:dyDescent="0.2">
      <c r="A52" s="32"/>
      <c r="B52" t="s">
        <v>21</v>
      </c>
      <c r="C52" s="1" t="s">
        <v>33</v>
      </c>
      <c r="D52" s="7">
        <f>+D51-10</f>
        <v>145.30000000000001</v>
      </c>
      <c r="E52" s="7">
        <f>SUM(D50:D52)</f>
        <v>450.90000000000003</v>
      </c>
      <c r="F52" s="12">
        <f>+E52*0.86</f>
        <v>387.774</v>
      </c>
      <c r="G52" s="8">
        <f t="shared" si="19"/>
        <v>-6.4391500321957507E-2</v>
      </c>
      <c r="H52" s="8">
        <f>+(E52/E49)-1</f>
        <v>0.1476202596080427</v>
      </c>
      <c r="I52">
        <v>20</v>
      </c>
      <c r="J52" s="9">
        <f t="shared" si="20"/>
        <v>7.2650000000000006</v>
      </c>
      <c r="K52" s="9">
        <f>SUM(D50:D52)/SUM(I50:I52)</f>
        <v>7.0453125000000005</v>
      </c>
      <c r="L52" s="12">
        <f t="shared" si="22"/>
        <v>464.96000000000004</v>
      </c>
      <c r="M52" s="10">
        <f t="shared" si="21"/>
        <v>2.9169349645846721E-2</v>
      </c>
      <c r="O52" s="10">
        <f>+F52/E52</f>
        <v>0.86</v>
      </c>
      <c r="Q52" s="11"/>
    </row>
    <row r="53" spans="1:17" x14ac:dyDescent="0.2">
      <c r="A53" s="32"/>
      <c r="B53" t="s">
        <v>22</v>
      </c>
      <c r="C53" s="1" t="s">
        <v>33</v>
      </c>
      <c r="D53" s="7">
        <f>+D52+19</f>
        <v>164.3</v>
      </c>
      <c r="E53" s="7"/>
      <c r="F53" s="12"/>
      <c r="G53" s="8">
        <f t="shared" si="19"/>
        <v>0.13076393668272535</v>
      </c>
      <c r="I53">
        <v>22</v>
      </c>
      <c r="J53" s="9">
        <f t="shared" si="20"/>
        <v>7.4681818181818187</v>
      </c>
      <c r="K53" s="9"/>
      <c r="L53" s="12">
        <f t="shared" si="22"/>
        <v>477.9636363636364</v>
      </c>
      <c r="M53" s="10">
        <f>+(J53/J52)-1</f>
        <v>2.796721516611389E-2</v>
      </c>
      <c r="O53" s="25"/>
      <c r="Q53" s="11"/>
    </row>
    <row r="54" spans="1:17" x14ac:dyDescent="0.2">
      <c r="A54" s="32"/>
      <c r="B54" t="s">
        <v>23</v>
      </c>
      <c r="C54" s="1" t="s">
        <v>33</v>
      </c>
      <c r="D54" s="7">
        <f>+D53+5</f>
        <v>169.3</v>
      </c>
      <c r="E54" s="7"/>
      <c r="F54" s="12"/>
      <c r="G54" s="8">
        <f t="shared" si="19"/>
        <v>3.043213633597075E-2</v>
      </c>
      <c r="I54">
        <v>22</v>
      </c>
      <c r="J54" s="9">
        <f t="shared" si="20"/>
        <v>7.6954545454545462</v>
      </c>
      <c r="K54" s="9"/>
      <c r="L54" s="12">
        <f t="shared" si="22"/>
        <v>492.50909090909096</v>
      </c>
      <c r="M54" s="10">
        <f t="shared" ref="M54:M58" si="23">+(J54/J53)-1</f>
        <v>3.043213633597075E-2</v>
      </c>
      <c r="Q54" s="11"/>
    </row>
    <row r="55" spans="1:17" x14ac:dyDescent="0.2">
      <c r="A55" s="32"/>
      <c r="B55" t="s">
        <v>24</v>
      </c>
      <c r="C55" s="1" t="s">
        <v>33</v>
      </c>
      <c r="D55" s="7">
        <f>+D54-11</f>
        <v>158.30000000000001</v>
      </c>
      <c r="E55" s="7">
        <f>SUM(D53:D55)</f>
        <v>491.90000000000003</v>
      </c>
      <c r="F55" s="12">
        <f>+E55*0.86</f>
        <v>423.03400000000005</v>
      </c>
      <c r="G55" s="8">
        <f t="shared" si="19"/>
        <v>-6.4973419964559964E-2</v>
      </c>
      <c r="H55" s="8">
        <f>+(E55/E52)-1</f>
        <v>9.0929252605899347E-2</v>
      </c>
      <c r="I55">
        <v>20</v>
      </c>
      <c r="J55" s="9">
        <f t="shared" si="20"/>
        <v>7.9150000000000009</v>
      </c>
      <c r="K55" s="9">
        <f>SUM(D53:D55)/SUM(I53:I55)</f>
        <v>7.6859375000000005</v>
      </c>
      <c r="L55" s="12">
        <f t="shared" si="22"/>
        <v>482.81500000000005</v>
      </c>
      <c r="M55" s="10">
        <f t="shared" si="23"/>
        <v>2.8529238038984106E-2</v>
      </c>
      <c r="O55" s="10">
        <f>+F55/E55</f>
        <v>0.86</v>
      </c>
      <c r="Q55" s="11"/>
    </row>
    <row r="56" spans="1:17" x14ac:dyDescent="0.2">
      <c r="A56" s="32"/>
      <c r="B56" t="s">
        <v>25</v>
      </c>
      <c r="C56" s="1" t="s">
        <v>33</v>
      </c>
      <c r="D56" s="7">
        <f>+D55+21</f>
        <v>179.3</v>
      </c>
      <c r="E56" s="7"/>
      <c r="F56" s="12"/>
      <c r="G56" s="8">
        <f t="shared" si="19"/>
        <v>0.13265950726468723</v>
      </c>
      <c r="I56">
        <v>22</v>
      </c>
      <c r="J56" s="9">
        <f t="shared" si="20"/>
        <v>8.15</v>
      </c>
      <c r="K56" s="9"/>
      <c r="L56" s="12">
        <f t="shared" si="22"/>
        <v>505.3</v>
      </c>
      <c r="M56" s="10">
        <f t="shared" si="23"/>
        <v>2.9690461149715741E-2</v>
      </c>
      <c r="Q56" s="11"/>
    </row>
    <row r="57" spans="1:17" x14ac:dyDescent="0.2">
      <c r="A57" s="32"/>
      <c r="B57" t="s">
        <v>26</v>
      </c>
      <c r="C57" s="1" t="s">
        <v>33</v>
      </c>
      <c r="D57" s="7">
        <f>+D56-19</f>
        <v>160.30000000000001</v>
      </c>
      <c r="E57" s="7"/>
      <c r="F57" s="12"/>
      <c r="G57" s="8">
        <f t="shared" si="19"/>
        <v>-0.10596765197992186</v>
      </c>
      <c r="I57">
        <v>19</v>
      </c>
      <c r="J57" s="9">
        <f t="shared" si="20"/>
        <v>8.4368421052631586</v>
      </c>
      <c r="K57" s="9"/>
      <c r="L57" s="12">
        <f>+J57*(I57+I58+I61)</f>
        <v>337.47368421052636</v>
      </c>
      <c r="M57" s="10">
        <f t="shared" si="23"/>
        <v>3.5195350339037867E-2</v>
      </c>
      <c r="Q57" s="11"/>
    </row>
    <row r="58" spans="1:17" x14ac:dyDescent="0.2">
      <c r="A58" s="32"/>
      <c r="B58" t="s">
        <v>28</v>
      </c>
      <c r="C58" s="1" t="s">
        <v>33</v>
      </c>
      <c r="D58" s="7">
        <f>+D57+18</f>
        <v>178.3</v>
      </c>
      <c r="E58" s="7">
        <f>SUM(D56:D58)</f>
        <v>517.90000000000009</v>
      </c>
      <c r="F58" s="12">
        <f>+E58*0.86</f>
        <v>445.39400000000006</v>
      </c>
      <c r="G58" s="8">
        <f t="shared" si="19"/>
        <v>0.11228945726762318</v>
      </c>
      <c r="H58" s="8">
        <f>+(E58/E55)-1</f>
        <v>5.2856271599918792E-2</v>
      </c>
      <c r="I58">
        <v>21</v>
      </c>
      <c r="J58" s="9">
        <f t="shared" si="20"/>
        <v>8.4904761904761905</v>
      </c>
      <c r="K58" s="9">
        <f>SUM(D56:D58)/SUM(I56:I58)</f>
        <v>8.3532258064516149</v>
      </c>
      <c r="L58" s="12">
        <f>+J58*(I58+I61+I62)</f>
        <v>178.3</v>
      </c>
      <c r="M58" s="10">
        <f t="shared" si="23"/>
        <v>6.3571280040399802E-3</v>
      </c>
      <c r="O58" s="10">
        <f>+F58/E58</f>
        <v>0.86</v>
      </c>
      <c r="Q58" s="11"/>
    </row>
    <row r="59" spans="1:17" ht="13.5" thickBot="1" x14ac:dyDescent="0.25">
      <c r="A59" s="33"/>
      <c r="B59" s="13" t="s">
        <v>29</v>
      </c>
      <c r="C59" s="13" t="s">
        <v>33</v>
      </c>
      <c r="D59" s="14">
        <f>SUM(D47:D58)</f>
        <v>1853.5999999999997</v>
      </c>
      <c r="E59" s="14">
        <f>SUM(E47:E58)</f>
        <v>1853.6000000000001</v>
      </c>
      <c r="F59" s="15">
        <f>SUM(F47:F58)</f>
        <v>1594.096</v>
      </c>
      <c r="G59" s="16">
        <f>AVERAGE(G47:G58)</f>
        <v>3.7917727409808775E-2</v>
      </c>
      <c r="H59" s="16">
        <f>AVERAGE(H47:H58)</f>
        <v>8.5464070609241549E-2</v>
      </c>
      <c r="I59" s="13">
        <f>SUM(I47:I58)</f>
        <v>251</v>
      </c>
      <c r="J59" s="17">
        <f t="shared" ref="J59:M59" si="24">AVERAGE(J47:J58)</f>
        <v>7.3862016784385203</v>
      </c>
      <c r="K59" s="17"/>
      <c r="L59" s="17"/>
      <c r="M59" s="26">
        <f t="shared" si="24"/>
        <v>2.9967983203617782E-2</v>
      </c>
      <c r="N59" s="19"/>
      <c r="O59" s="19"/>
      <c r="P59" s="19"/>
      <c r="Q59" s="20"/>
    </row>
    <row r="62" spans="1:17" x14ac:dyDescent="0.2">
      <c r="F62" s="30"/>
    </row>
  </sheetData>
  <mergeCells count="4">
    <mergeCell ref="A5:A17"/>
    <mergeCell ref="A19:A31"/>
    <mergeCell ref="A33:A45"/>
    <mergeCell ref="A47:A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Dara recepttal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 Villadsen</dc:creator>
  <cp:lastModifiedBy>Ulrik Villadsen</cp:lastModifiedBy>
  <dcterms:created xsi:type="dcterms:W3CDTF">2019-02-20T10:07:09Z</dcterms:created>
  <dcterms:modified xsi:type="dcterms:W3CDTF">2019-02-20T10:09:43Z</dcterms:modified>
</cp:coreProperties>
</file>