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eidar\Dropbox\Aksjer\Shipping\LPG\BW LPG\"/>
    </mc:Choice>
  </mc:AlternateContent>
  <bookViews>
    <workbookView xWindow="0" yWindow="0" windowWidth="19200" windowHeight="7350" activeTab="8"/>
  </bookViews>
  <sheets>
    <sheet name="Quarterly" sheetId="1" r:id="rId1"/>
    <sheet name="Annual" sheetId="2" r:id="rId2"/>
    <sheet name="Assumptions" sheetId="3" r:id="rId3"/>
    <sheet name="DCF" sheetId="6" r:id="rId4"/>
    <sheet name="WACC" sheetId="8" r:id="rId5"/>
    <sheet name="Debt" sheetId="5" r:id="rId6"/>
    <sheet name="Ships" sheetId="4" r:id="rId7"/>
    <sheet name="Multiples" sheetId="7" r:id="rId8"/>
    <sheet name="Sensitivities" sheetId="9" r:id="rId9"/>
    <sheet name="Secured utilization" sheetId="10" r:id="rId10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3" i="2" l="1"/>
  <c r="C49" i="3" l="1"/>
  <c r="C8" i="3"/>
  <c r="D8" i="3"/>
  <c r="E8" i="3"/>
  <c r="F8" i="3"/>
  <c r="G8" i="3"/>
  <c r="H8" i="3"/>
  <c r="I8" i="3"/>
  <c r="J8" i="3"/>
  <c r="K8" i="3"/>
  <c r="L8" i="3"/>
  <c r="M8" i="3"/>
  <c r="N8" i="3"/>
  <c r="B8" i="3"/>
  <c r="C53" i="3"/>
  <c r="C20" i="7" l="1"/>
  <c r="G37" i="3"/>
  <c r="G25" i="3"/>
  <c r="G28" i="3" s="1"/>
  <c r="G33" i="3" s="1"/>
  <c r="F36" i="3"/>
  <c r="B13" i="7" l="1"/>
  <c r="H23" i="3" l="1"/>
  <c r="B14" i="8" l="1"/>
  <c r="B5" i="8"/>
  <c r="B28" i="3" l="1"/>
  <c r="B37" i="3"/>
  <c r="J49" i="3"/>
  <c r="E48" i="3"/>
  <c r="D48" i="3"/>
  <c r="C36" i="3"/>
  <c r="F49" i="3"/>
  <c r="B2" i="3" l="1"/>
  <c r="C7" i="10"/>
  <c r="C6" i="10"/>
  <c r="C5" i="10"/>
  <c r="Q4" i="9" l="1"/>
  <c r="Q5" i="9"/>
  <c r="Q6" i="9"/>
  <c r="Q7" i="9"/>
  <c r="Q8" i="9"/>
  <c r="Q9" i="9"/>
  <c r="Q10" i="9"/>
  <c r="Q12" i="9"/>
  <c r="Q13" i="9"/>
  <c r="Q14" i="9"/>
  <c r="Q15" i="9"/>
  <c r="Q16" i="9"/>
  <c r="Q17" i="9"/>
  <c r="Q18" i="9"/>
  <c r="Q11" i="9"/>
  <c r="O4" i="9"/>
  <c r="O5" i="9"/>
  <c r="O6" i="9"/>
  <c r="O7" i="9"/>
  <c r="O8" i="9"/>
  <c r="O9" i="9"/>
  <c r="O10" i="9"/>
  <c r="O12" i="9"/>
  <c r="O13" i="9"/>
  <c r="O14" i="9"/>
  <c r="O15" i="9"/>
  <c r="O16" i="9"/>
  <c r="O17" i="9"/>
  <c r="O18" i="9"/>
  <c r="O11" i="9"/>
  <c r="C10" i="3" l="1"/>
  <c r="B10" i="3"/>
  <c r="D10" i="3"/>
  <c r="E10" i="3"/>
  <c r="F10" i="3"/>
  <c r="G10" i="3"/>
  <c r="H10" i="3"/>
  <c r="I10" i="3"/>
  <c r="J10" i="3"/>
  <c r="K10" i="3"/>
  <c r="L10" i="3"/>
  <c r="M10" i="3"/>
  <c r="N10" i="3"/>
  <c r="E43" i="3"/>
  <c r="C11" i="3"/>
  <c r="D11" i="3"/>
  <c r="E11" i="3"/>
  <c r="F11" i="3"/>
  <c r="G11" i="3"/>
  <c r="H11" i="3"/>
  <c r="I11" i="3"/>
  <c r="J11" i="3"/>
  <c r="K11" i="3"/>
  <c r="L11" i="3"/>
  <c r="M11" i="3"/>
  <c r="N11" i="3"/>
  <c r="B11" i="3"/>
  <c r="K4" i="9" l="1"/>
  <c r="K5" i="9"/>
  <c r="K6" i="9"/>
  <c r="K7" i="9"/>
  <c r="K8" i="9"/>
  <c r="K9" i="9"/>
  <c r="K10" i="9"/>
  <c r="K11" i="9"/>
  <c r="K13" i="9"/>
  <c r="K14" i="9"/>
  <c r="K15" i="9"/>
  <c r="K16" i="9"/>
  <c r="K17" i="9"/>
  <c r="K18" i="9"/>
  <c r="K12" i="9"/>
  <c r="I4" i="9"/>
  <c r="I5" i="9"/>
  <c r="I6" i="9"/>
  <c r="I7" i="9"/>
  <c r="I8" i="9"/>
  <c r="I9" i="9"/>
  <c r="I10" i="9"/>
  <c r="I11" i="9"/>
  <c r="I13" i="9"/>
  <c r="I14" i="9"/>
  <c r="I15" i="9"/>
  <c r="I16" i="9"/>
  <c r="I17" i="9"/>
  <c r="I18" i="9"/>
  <c r="I12" i="9"/>
  <c r="I11" i="1"/>
  <c r="J11" i="1"/>
  <c r="K11" i="1"/>
  <c r="L11" i="1"/>
  <c r="M11" i="1"/>
  <c r="N11" i="1"/>
  <c r="O11" i="1"/>
  <c r="P11" i="1"/>
  <c r="Q11" i="1"/>
  <c r="R11" i="1"/>
  <c r="S11" i="1"/>
  <c r="H11" i="1"/>
  <c r="E4" i="9"/>
  <c r="E5" i="9"/>
  <c r="E6" i="9"/>
  <c r="E7" i="9"/>
  <c r="E8" i="9"/>
  <c r="E9" i="9"/>
  <c r="E10" i="9"/>
  <c r="E11" i="9"/>
  <c r="E13" i="9"/>
  <c r="E14" i="9"/>
  <c r="E15" i="9"/>
  <c r="E16" i="9"/>
  <c r="E17" i="9"/>
  <c r="E18" i="9"/>
  <c r="E12" i="9"/>
  <c r="C4" i="9"/>
  <c r="C5" i="9"/>
  <c r="C6" i="9"/>
  <c r="C7" i="9"/>
  <c r="C8" i="9"/>
  <c r="C9" i="9"/>
  <c r="C10" i="9"/>
  <c r="C13" i="9"/>
  <c r="C14" i="9"/>
  <c r="C15" i="9"/>
  <c r="C16" i="9"/>
  <c r="C17" i="9"/>
  <c r="C18" i="9"/>
  <c r="C11" i="9"/>
  <c r="C12" i="9"/>
  <c r="B16" i="7" l="1"/>
  <c r="G1" i="7" l="1"/>
  <c r="B1" i="7"/>
  <c r="B1" i="8"/>
  <c r="B2" i="8"/>
  <c r="I5" i="6"/>
  <c r="B39" i="3"/>
  <c r="D32" i="3"/>
  <c r="B30" i="3"/>
  <c r="B23" i="3"/>
  <c r="B32" i="3"/>
  <c r="B10" i="7" l="1"/>
  <c r="G3" i="7"/>
  <c r="B3" i="8"/>
  <c r="C24" i="3"/>
  <c r="D24" i="3"/>
  <c r="E24" i="3"/>
  <c r="F24" i="3"/>
  <c r="G24" i="3"/>
  <c r="H24" i="3"/>
  <c r="I24" i="3"/>
  <c r="J24" i="3"/>
  <c r="K24" i="3"/>
  <c r="L24" i="3"/>
  <c r="M24" i="3"/>
  <c r="N24" i="3"/>
  <c r="B24" i="3"/>
  <c r="B20" i="3"/>
  <c r="B25" i="3" l="1"/>
  <c r="B7" i="8"/>
  <c r="B8" i="8" s="1"/>
  <c r="B9" i="8" s="1"/>
  <c r="B18" i="8" s="1"/>
  <c r="I3" i="6" s="1"/>
  <c r="B14" i="6" s="1"/>
  <c r="B26" i="3"/>
  <c r="C14" i="6" l="1"/>
  <c r="D14" i="6"/>
  <c r="C8" i="6"/>
  <c r="C6" i="6"/>
  <c r="D6" i="6"/>
  <c r="F10" i="2"/>
  <c r="F14" i="2"/>
  <c r="F15" i="2"/>
  <c r="F16" i="2"/>
  <c r="D8" i="6" s="1"/>
  <c r="F18" i="2"/>
  <c r="F20" i="2"/>
  <c r="F21" i="2"/>
  <c r="F23" i="2"/>
  <c r="F24" i="2"/>
  <c r="F27" i="2"/>
  <c r="F28" i="2"/>
  <c r="K32" i="3"/>
  <c r="L32" i="3"/>
  <c r="M32" i="3"/>
  <c r="N32" i="3"/>
  <c r="K43" i="3"/>
  <c r="L43" i="3"/>
  <c r="M43" i="3"/>
  <c r="N43" i="3"/>
  <c r="K53" i="3"/>
  <c r="K55" i="3" s="1"/>
  <c r="P17" i="1" s="1"/>
  <c r="L53" i="3"/>
  <c r="L55" i="3" s="1"/>
  <c r="Q17" i="1" s="1"/>
  <c r="M53" i="3"/>
  <c r="M55" i="3" s="1"/>
  <c r="R17" i="1" s="1"/>
  <c r="N53" i="3"/>
  <c r="N55" i="3" s="1"/>
  <c r="S17" i="1" s="1"/>
  <c r="E14" i="2"/>
  <c r="E15" i="2"/>
  <c r="E16" i="2"/>
  <c r="E18" i="2"/>
  <c r="E20" i="2"/>
  <c r="E21" i="2"/>
  <c r="E23" i="2"/>
  <c r="E24" i="2"/>
  <c r="E27" i="2"/>
  <c r="E28" i="2"/>
  <c r="E10" i="2"/>
  <c r="D28" i="2"/>
  <c r="D27" i="2"/>
  <c r="B6" i="6" s="1"/>
  <c r="D24" i="2"/>
  <c r="D23" i="2"/>
  <c r="D21" i="2"/>
  <c r="D20" i="2"/>
  <c r="D18" i="2"/>
  <c r="D16" i="2"/>
  <c r="B8" i="6" s="1"/>
  <c r="D15" i="2"/>
  <c r="D14" i="2"/>
  <c r="D10" i="2"/>
  <c r="G25" i="1"/>
  <c r="C23" i="3"/>
  <c r="C6" i="5"/>
  <c r="B50" i="3"/>
  <c r="C48" i="3"/>
  <c r="F48" i="3" s="1"/>
  <c r="G48" i="3" s="1"/>
  <c r="H48" i="3" s="1"/>
  <c r="I48" i="3" s="1"/>
  <c r="J48" i="3" s="1"/>
  <c r="C38" i="3"/>
  <c r="C39" i="3" s="1"/>
  <c r="C44" i="3"/>
  <c r="D44" i="3" s="1"/>
  <c r="E44" i="3" s="1"/>
  <c r="F44" i="3" s="1"/>
  <c r="G44" i="3" s="1"/>
  <c r="H44" i="3" s="1"/>
  <c r="I44" i="3" s="1"/>
  <c r="J44" i="3" s="1"/>
  <c r="K44" i="3" s="1"/>
  <c r="C32" i="3"/>
  <c r="E32" i="3"/>
  <c r="F32" i="3"/>
  <c r="G32" i="3"/>
  <c r="H32" i="3"/>
  <c r="I32" i="3"/>
  <c r="J32" i="3"/>
  <c r="C43" i="3"/>
  <c r="D43" i="3"/>
  <c r="F43" i="3"/>
  <c r="G43" i="3"/>
  <c r="H43" i="3"/>
  <c r="I43" i="3"/>
  <c r="J43" i="3"/>
  <c r="H15" i="3" l="1"/>
  <c r="G15" i="3"/>
  <c r="F11" i="2"/>
  <c r="B40" i="3"/>
  <c r="B33" i="3"/>
  <c r="C37" i="3"/>
  <c r="C40" i="3" s="1"/>
  <c r="H8" i="1" s="1"/>
  <c r="D6" i="5"/>
  <c r="E6" i="5" s="1"/>
  <c r="C9" i="5"/>
  <c r="H22" i="1" s="1"/>
  <c r="H25" i="1" s="1"/>
  <c r="B9" i="5"/>
  <c r="C30" i="3"/>
  <c r="C20" i="3"/>
  <c r="D36" i="3"/>
  <c r="C26" i="3"/>
  <c r="B15" i="3"/>
  <c r="B16" i="3" s="1"/>
  <c r="J12" i="3"/>
  <c r="F12" i="3"/>
  <c r="N12" i="3"/>
  <c r="K12" i="3"/>
  <c r="K15" i="3"/>
  <c r="N15" i="3"/>
  <c r="M12" i="3"/>
  <c r="M15" i="3"/>
  <c r="L12" i="3"/>
  <c r="L15" i="3"/>
  <c r="K48" i="3"/>
  <c r="L48" i="3" s="1"/>
  <c r="L44" i="3"/>
  <c r="F17" i="2"/>
  <c r="D7" i="6" s="1"/>
  <c r="J15" i="3"/>
  <c r="I15" i="3"/>
  <c r="E15" i="3"/>
  <c r="F15" i="3"/>
  <c r="D38" i="3"/>
  <c r="D15" i="3"/>
  <c r="C15" i="3"/>
  <c r="I12" i="3"/>
  <c r="E12" i="3"/>
  <c r="D12" i="3"/>
  <c r="H12" i="3"/>
  <c r="B12" i="3"/>
  <c r="G12" i="3"/>
  <c r="C12" i="3"/>
  <c r="E53" i="3"/>
  <c r="E55" i="3" s="1"/>
  <c r="J17" i="1" s="1"/>
  <c r="F53" i="3"/>
  <c r="F55" i="3" s="1"/>
  <c r="K17" i="1" s="1"/>
  <c r="G53" i="3"/>
  <c r="G55" i="3" s="1"/>
  <c r="L17" i="1" s="1"/>
  <c r="H53" i="3"/>
  <c r="H55" i="3" s="1"/>
  <c r="M17" i="1" s="1"/>
  <c r="I53" i="3"/>
  <c r="I55" i="3" s="1"/>
  <c r="N17" i="1" s="1"/>
  <c r="J53" i="3"/>
  <c r="J55" i="3" s="1"/>
  <c r="O17" i="1" s="1"/>
  <c r="D53" i="3"/>
  <c r="D55" i="3" s="1"/>
  <c r="I17" i="1" s="1"/>
  <c r="C55" i="3"/>
  <c r="H17" i="1" s="1"/>
  <c r="B53" i="3"/>
  <c r="B55" i="3" s="1"/>
  <c r="C25" i="3" l="1"/>
  <c r="C28" i="3" s="1"/>
  <c r="C33" i="3" s="1"/>
  <c r="H7" i="1" s="1"/>
  <c r="H9" i="1" s="1"/>
  <c r="J16" i="3"/>
  <c r="J50" i="3" s="1"/>
  <c r="O12" i="1" s="1"/>
  <c r="F16" i="3"/>
  <c r="F50" i="3" s="1"/>
  <c r="K12" i="1" s="1"/>
  <c r="D30" i="3"/>
  <c r="D39" i="3"/>
  <c r="D9" i="5"/>
  <c r="I22" i="1" s="1"/>
  <c r="D20" i="3"/>
  <c r="D25" i="3" s="1"/>
  <c r="D37" i="3"/>
  <c r="C16" i="3"/>
  <c r="C50" i="3" s="1"/>
  <c r="H12" i="1" s="1"/>
  <c r="N16" i="3"/>
  <c r="N49" i="3" s="1"/>
  <c r="D17" i="2"/>
  <c r="B7" i="6" s="1"/>
  <c r="E17" i="2"/>
  <c r="C7" i="6" s="1"/>
  <c r="E16" i="3"/>
  <c r="E49" i="3" s="1"/>
  <c r="E50" i="3" s="1"/>
  <c r="J12" i="1" s="1"/>
  <c r="M16" i="3"/>
  <c r="M49" i="3" s="1"/>
  <c r="D16" i="3"/>
  <c r="D49" i="3" s="1"/>
  <c r="D50" i="3" s="1"/>
  <c r="I12" i="1" s="1"/>
  <c r="I16" i="3"/>
  <c r="I49" i="3" s="1"/>
  <c r="I50" i="3" s="1"/>
  <c r="N12" i="1" s="1"/>
  <c r="L16" i="3"/>
  <c r="L49" i="3" s="1"/>
  <c r="L50" i="3" s="1"/>
  <c r="Q12" i="1" s="1"/>
  <c r="E36" i="3"/>
  <c r="D23" i="3"/>
  <c r="D26" i="3" s="1"/>
  <c r="K16" i="3"/>
  <c r="K49" i="3" s="1"/>
  <c r="K50" i="3" s="1"/>
  <c r="P12" i="1" s="1"/>
  <c r="H16" i="3"/>
  <c r="H49" i="3" s="1"/>
  <c r="H50" i="3" s="1"/>
  <c r="M12" i="1" s="1"/>
  <c r="G16" i="3"/>
  <c r="G49" i="3" s="1"/>
  <c r="G50" i="3" s="1"/>
  <c r="L12" i="1" s="1"/>
  <c r="M44" i="3"/>
  <c r="D11" i="2"/>
  <c r="M48" i="3"/>
  <c r="E11" i="2"/>
  <c r="G9" i="1"/>
  <c r="E38" i="3"/>
  <c r="B118" i="2"/>
  <c r="B101" i="2"/>
  <c r="B88" i="2"/>
  <c r="B92" i="2" s="1"/>
  <c r="B94" i="2" s="1"/>
  <c r="B69" i="2"/>
  <c r="B70" i="2"/>
  <c r="B59" i="2"/>
  <c r="B50" i="2"/>
  <c r="B48" i="2"/>
  <c r="B43" i="2"/>
  <c r="B42" i="2"/>
  <c r="B36" i="2"/>
  <c r="B29" i="2"/>
  <c r="B26" i="2"/>
  <c r="B25" i="2"/>
  <c r="B19" i="2"/>
  <c r="B13" i="2"/>
  <c r="B9" i="2"/>
  <c r="B71" i="2" l="1"/>
  <c r="E30" i="3"/>
  <c r="E39" i="3"/>
  <c r="I25" i="1"/>
  <c r="F6" i="5"/>
  <c r="E9" i="5"/>
  <c r="J22" i="1" s="1"/>
  <c r="J25" i="1" s="1"/>
  <c r="E20" i="3"/>
  <c r="E25" i="3" s="1"/>
  <c r="E37" i="3"/>
  <c r="D28" i="3"/>
  <c r="D33" i="3" s="1"/>
  <c r="I7" i="1" s="1"/>
  <c r="D12" i="2"/>
  <c r="G13" i="1"/>
  <c r="G19" i="1" s="1"/>
  <c r="G26" i="1" s="1"/>
  <c r="G29" i="1" s="1"/>
  <c r="E23" i="3"/>
  <c r="E26" i="3" s="1"/>
  <c r="E12" i="2"/>
  <c r="N48" i="3"/>
  <c r="N50" i="3" s="1"/>
  <c r="S12" i="1" s="1"/>
  <c r="M50" i="3"/>
  <c r="R12" i="1" s="1"/>
  <c r="N44" i="3"/>
  <c r="H13" i="1"/>
  <c r="H19" i="1" s="1"/>
  <c r="D40" i="3"/>
  <c r="I8" i="1" s="1"/>
  <c r="F38" i="3"/>
  <c r="F13" i="1"/>
  <c r="C42" i="1"/>
  <c r="D42" i="1"/>
  <c r="E42" i="1"/>
  <c r="F42" i="1"/>
  <c r="B42" i="1"/>
  <c r="C117" i="1"/>
  <c r="C100" i="1"/>
  <c r="D100" i="1"/>
  <c r="E100" i="1"/>
  <c r="F100" i="1"/>
  <c r="B100" i="1"/>
  <c r="C87" i="1"/>
  <c r="C91" i="1" s="1"/>
  <c r="C93" i="1" s="1"/>
  <c r="D87" i="1"/>
  <c r="D91" i="1" s="1"/>
  <c r="D93" i="1" s="1"/>
  <c r="E87" i="1"/>
  <c r="E91" i="1" s="1"/>
  <c r="E93" i="1" s="1"/>
  <c r="F87" i="1"/>
  <c r="F91" i="1" s="1"/>
  <c r="F93" i="1" s="1"/>
  <c r="B87" i="1"/>
  <c r="B91" i="1" s="1"/>
  <c r="B93" i="1" s="1"/>
  <c r="D117" i="1"/>
  <c r="E117" i="1"/>
  <c r="F117" i="1"/>
  <c r="B117" i="1"/>
  <c r="C68" i="1"/>
  <c r="D68" i="1"/>
  <c r="E68" i="1"/>
  <c r="F68" i="1"/>
  <c r="B68" i="1"/>
  <c r="C62" i="1"/>
  <c r="D62" i="1"/>
  <c r="E62" i="1"/>
  <c r="F62" i="1"/>
  <c r="B62" i="1"/>
  <c r="C59" i="1"/>
  <c r="D59" i="1"/>
  <c r="E59" i="1"/>
  <c r="F59" i="1"/>
  <c r="B59" i="1"/>
  <c r="C48" i="1"/>
  <c r="D48" i="1"/>
  <c r="E48" i="1"/>
  <c r="F48" i="1"/>
  <c r="B48" i="1"/>
  <c r="C36" i="1"/>
  <c r="D36" i="1"/>
  <c r="E36" i="1"/>
  <c r="F36" i="1"/>
  <c r="B36" i="1"/>
  <c r="C25" i="1"/>
  <c r="D25" i="1"/>
  <c r="E25" i="1"/>
  <c r="F25" i="1"/>
  <c r="B25" i="1"/>
  <c r="C9" i="1"/>
  <c r="C13" i="1" s="1"/>
  <c r="C19" i="1" s="1"/>
  <c r="D9" i="1"/>
  <c r="D13" i="1" s="1"/>
  <c r="D19" i="1" s="1"/>
  <c r="E9" i="1"/>
  <c r="E13" i="1" s="1"/>
  <c r="E19" i="1" s="1"/>
  <c r="F9" i="1"/>
  <c r="B9" i="1"/>
  <c r="B13" i="1" s="1"/>
  <c r="B19" i="1" s="1"/>
  <c r="F30" i="3" l="1"/>
  <c r="F39" i="3"/>
  <c r="G6" i="5"/>
  <c r="F9" i="5"/>
  <c r="K22" i="1" s="1"/>
  <c r="K25" i="1" s="1"/>
  <c r="D25" i="2" s="1"/>
  <c r="I9" i="1"/>
  <c r="I13" i="1" s="1"/>
  <c r="I19" i="1" s="1"/>
  <c r="I26" i="1" s="1"/>
  <c r="I29" i="1" s="1"/>
  <c r="F20" i="3"/>
  <c r="F25" i="3" s="1"/>
  <c r="F37" i="3"/>
  <c r="E28" i="3"/>
  <c r="E33" i="3" s="1"/>
  <c r="J7" i="1" s="1"/>
  <c r="B7" i="7"/>
  <c r="B12" i="5"/>
  <c r="G36" i="3"/>
  <c r="F23" i="3"/>
  <c r="F26" i="3" s="1"/>
  <c r="F12" i="2"/>
  <c r="H26" i="1"/>
  <c r="E40" i="3"/>
  <c r="J8" i="1" s="1"/>
  <c r="G38" i="3"/>
  <c r="F19" i="1"/>
  <c r="F26" i="1" s="1"/>
  <c r="F29" i="1" s="1"/>
  <c r="D43" i="1"/>
  <c r="D119" i="1"/>
  <c r="F119" i="1"/>
  <c r="C119" i="1"/>
  <c r="F69" i="1"/>
  <c r="F70" i="1" s="1"/>
  <c r="E119" i="1"/>
  <c r="F43" i="1"/>
  <c r="F50" i="1" s="1"/>
  <c r="D26" i="1"/>
  <c r="D29" i="1" s="1"/>
  <c r="C69" i="1"/>
  <c r="C70" i="1" s="1"/>
  <c r="D69" i="1"/>
  <c r="D70" i="1" s="1"/>
  <c r="E43" i="1"/>
  <c r="E50" i="1" s="1"/>
  <c r="E69" i="1"/>
  <c r="E70" i="1" s="1"/>
  <c r="C43" i="1"/>
  <c r="C50" i="1" s="1"/>
  <c r="B119" i="1"/>
  <c r="D50" i="1"/>
  <c r="E26" i="1"/>
  <c r="E29" i="1" s="1"/>
  <c r="C26" i="1"/>
  <c r="C29" i="1" s="1"/>
  <c r="B69" i="1"/>
  <c r="B70" i="1" s="1"/>
  <c r="B43" i="1"/>
  <c r="B50" i="1" s="1"/>
  <c r="B26" i="1"/>
  <c r="B29" i="1" s="1"/>
  <c r="G23" i="3" l="1"/>
  <c r="G26" i="3" s="1"/>
  <c r="G20" i="3"/>
  <c r="G30" i="3"/>
  <c r="G39" i="3"/>
  <c r="D22" i="2"/>
  <c r="H6" i="5"/>
  <c r="G9" i="5"/>
  <c r="L22" i="1" s="1"/>
  <c r="J9" i="1"/>
  <c r="F28" i="3"/>
  <c r="F33" i="3" s="1"/>
  <c r="K7" i="1" s="1"/>
  <c r="D7" i="2" s="1"/>
  <c r="B8" i="7"/>
  <c r="B11" i="7"/>
  <c r="H36" i="3"/>
  <c r="H37" i="3" s="1"/>
  <c r="H29" i="1"/>
  <c r="F40" i="3"/>
  <c r="K8" i="1" s="1"/>
  <c r="H38" i="3"/>
  <c r="B14" i="7" l="1"/>
  <c r="H30" i="3"/>
  <c r="H39" i="3"/>
  <c r="L25" i="1"/>
  <c r="I6" i="5"/>
  <c r="H9" i="5"/>
  <c r="M22" i="1" s="1"/>
  <c r="M25" i="1" s="1"/>
  <c r="L7" i="1"/>
  <c r="H20" i="3"/>
  <c r="H25" i="3" s="1"/>
  <c r="H28" i="3" s="1"/>
  <c r="H26" i="3"/>
  <c r="C12" i="5"/>
  <c r="D8" i="2"/>
  <c r="K9" i="1"/>
  <c r="I36" i="3"/>
  <c r="I37" i="3" s="1"/>
  <c r="J13" i="1"/>
  <c r="J19" i="1" s="1"/>
  <c r="G40" i="3"/>
  <c r="L8" i="1" s="1"/>
  <c r="I38" i="3"/>
  <c r="I30" i="3" l="1"/>
  <c r="I39" i="3"/>
  <c r="J6" i="5"/>
  <c r="I9" i="5"/>
  <c r="N22" i="1" s="1"/>
  <c r="N25" i="1" s="1"/>
  <c r="L9" i="1"/>
  <c r="H33" i="3"/>
  <c r="M7" i="1" s="1"/>
  <c r="I20" i="3"/>
  <c r="I25" i="3" s="1"/>
  <c r="I28" i="3" s="1"/>
  <c r="I23" i="3"/>
  <c r="I26" i="3" s="1"/>
  <c r="D12" i="5"/>
  <c r="K13" i="1"/>
  <c r="K19" i="1" s="1"/>
  <c r="K26" i="1" s="1"/>
  <c r="K29" i="1" s="1"/>
  <c r="J36" i="3"/>
  <c r="J37" i="3" s="1"/>
  <c r="D9" i="2"/>
  <c r="J26" i="1"/>
  <c r="H40" i="3"/>
  <c r="M8" i="1" s="1"/>
  <c r="J38" i="3"/>
  <c r="J30" i="3" l="1"/>
  <c r="J39" i="3"/>
  <c r="J9" i="5"/>
  <c r="O22" i="1" s="1"/>
  <c r="O25" i="1" s="1"/>
  <c r="E25" i="2" s="1"/>
  <c r="K6" i="5"/>
  <c r="M9" i="1"/>
  <c r="M13" i="1" s="1"/>
  <c r="M19" i="1" s="1"/>
  <c r="M26" i="1" s="1"/>
  <c r="M29" i="1" s="1"/>
  <c r="I33" i="3"/>
  <c r="N7" i="1" s="1"/>
  <c r="D13" i="2"/>
  <c r="J20" i="3"/>
  <c r="J25" i="3" s="1"/>
  <c r="J23" i="3"/>
  <c r="J26" i="3" s="1"/>
  <c r="D19" i="2"/>
  <c r="K36" i="3"/>
  <c r="K38" i="3"/>
  <c r="L13" i="1"/>
  <c r="L19" i="1" s="1"/>
  <c r="J29" i="1"/>
  <c r="D26" i="2"/>
  <c r="I40" i="3"/>
  <c r="N8" i="1" s="1"/>
  <c r="K30" i="3" l="1"/>
  <c r="K39" i="3"/>
  <c r="B5" i="6"/>
  <c r="B11" i="6" s="1"/>
  <c r="B15" i="6" s="1"/>
  <c r="L6" i="5"/>
  <c r="K9" i="5"/>
  <c r="P22" i="1" s="1"/>
  <c r="E22" i="2"/>
  <c r="N9" i="1"/>
  <c r="N13" i="1" s="1"/>
  <c r="N19" i="1" s="1"/>
  <c r="N26" i="1" s="1"/>
  <c r="N29" i="1" s="1"/>
  <c r="J28" i="3"/>
  <c r="J33" i="3" s="1"/>
  <c r="O7" i="1" s="1"/>
  <c r="E7" i="2" s="1"/>
  <c r="K20" i="3"/>
  <c r="K25" i="3" s="1"/>
  <c r="K37" i="3"/>
  <c r="D29" i="2"/>
  <c r="C7" i="7"/>
  <c r="K23" i="3"/>
  <c r="K26" i="3" s="1"/>
  <c r="L36" i="3"/>
  <c r="J40" i="3"/>
  <c r="O8" i="1" s="1"/>
  <c r="L38" i="3"/>
  <c r="L26" i="1"/>
  <c r="C8" i="7" l="1"/>
  <c r="C9" i="7" s="1"/>
  <c r="C18" i="7"/>
  <c r="C23" i="7"/>
  <c r="L30" i="3"/>
  <c r="L39" i="3"/>
  <c r="P25" i="1"/>
  <c r="M6" i="5"/>
  <c r="L9" i="5"/>
  <c r="Q22" i="1" s="1"/>
  <c r="Q25" i="1" s="1"/>
  <c r="K28" i="3"/>
  <c r="K33" i="3" s="1"/>
  <c r="P7" i="1" s="1"/>
  <c r="L20" i="3"/>
  <c r="L25" i="3" s="1"/>
  <c r="L37" i="3"/>
  <c r="E12" i="5"/>
  <c r="E8" i="2"/>
  <c r="O9" i="1"/>
  <c r="E9" i="2" s="1"/>
  <c r="L23" i="3"/>
  <c r="L26" i="3" s="1"/>
  <c r="M36" i="3"/>
  <c r="K40" i="3"/>
  <c r="P8" i="1" s="1"/>
  <c r="M38" i="3"/>
  <c r="L29" i="1"/>
  <c r="C10" i="7" l="1"/>
  <c r="C13" i="7"/>
  <c r="C11" i="7"/>
  <c r="C16" i="7"/>
  <c r="M30" i="3"/>
  <c r="M39" i="3"/>
  <c r="N6" i="5"/>
  <c r="N9" i="5" s="1"/>
  <c r="S22" i="1" s="1"/>
  <c r="S25" i="1" s="1"/>
  <c r="M9" i="5"/>
  <c r="R22" i="1" s="1"/>
  <c r="R25" i="1" s="1"/>
  <c r="P9" i="1"/>
  <c r="M20" i="3"/>
  <c r="M25" i="3" s="1"/>
  <c r="M37" i="3"/>
  <c r="L28" i="3"/>
  <c r="L33" i="3" s="1"/>
  <c r="Q7" i="1" s="1"/>
  <c r="O13" i="1"/>
  <c r="O19" i="1" s="1"/>
  <c r="O26" i="1" s="1"/>
  <c r="O29" i="1" s="1"/>
  <c r="E29" i="2" s="1"/>
  <c r="F12" i="5"/>
  <c r="F13" i="5" s="1"/>
  <c r="C21" i="7" s="1"/>
  <c r="M23" i="3"/>
  <c r="M26" i="3" s="1"/>
  <c r="N36" i="3"/>
  <c r="N38" i="3"/>
  <c r="N39" i="3" s="1"/>
  <c r="L40" i="3"/>
  <c r="Q8" i="1" s="1"/>
  <c r="C22" i="7" l="1"/>
  <c r="C19" i="7"/>
  <c r="F25" i="2"/>
  <c r="F22" i="2"/>
  <c r="Q9" i="1"/>
  <c r="Q13" i="1" s="1"/>
  <c r="Q19" i="1" s="1"/>
  <c r="Q26" i="1" s="1"/>
  <c r="Q29" i="1" s="1"/>
  <c r="M28" i="3"/>
  <c r="M33" i="3" s="1"/>
  <c r="R7" i="1" s="1"/>
  <c r="N20" i="3"/>
  <c r="N25" i="3" s="1"/>
  <c r="N37" i="3"/>
  <c r="N40" i="3" s="1"/>
  <c r="S8" i="1" s="1"/>
  <c r="N30" i="3"/>
  <c r="E13" i="2"/>
  <c r="E19" i="2"/>
  <c r="C5" i="6" s="1"/>
  <c r="C11" i="6" s="1"/>
  <c r="C15" i="6" s="1"/>
  <c r="E26" i="2"/>
  <c r="D7" i="7" s="1"/>
  <c r="D18" i="7" s="1"/>
  <c r="G12" i="5"/>
  <c r="N23" i="3"/>
  <c r="N26" i="3" s="1"/>
  <c r="M40" i="3"/>
  <c r="R8" i="1" s="1"/>
  <c r="P13" i="1"/>
  <c r="D23" i="7" l="1"/>
  <c r="D21" i="7"/>
  <c r="C14" i="7"/>
  <c r="D8" i="7"/>
  <c r="D9" i="7" s="1"/>
  <c r="D11" i="7" s="1"/>
  <c r="R9" i="1"/>
  <c r="N28" i="3"/>
  <c r="N33" i="3" s="1"/>
  <c r="S7" i="1" s="1"/>
  <c r="H12" i="5"/>
  <c r="F8" i="2"/>
  <c r="P19" i="1"/>
  <c r="D16" i="7" l="1"/>
  <c r="D19" i="7" s="1"/>
  <c r="D10" i="7"/>
  <c r="D13" i="7"/>
  <c r="F7" i="2"/>
  <c r="S9" i="1"/>
  <c r="S13" i="1" s="1"/>
  <c r="S19" i="1" s="1"/>
  <c r="S26" i="1" s="1"/>
  <c r="S29" i="1" s="1"/>
  <c r="I12" i="5"/>
  <c r="R13" i="1"/>
  <c r="P26" i="1"/>
  <c r="D22" i="7" l="1"/>
  <c r="D14" i="7"/>
  <c r="F9" i="2"/>
  <c r="J12" i="5"/>
  <c r="P29" i="1"/>
  <c r="R19" i="1"/>
  <c r="F13" i="2"/>
  <c r="E20" i="7" s="1"/>
  <c r="J13" i="5" l="1"/>
  <c r="D20" i="7" s="1"/>
  <c r="K12" i="5"/>
  <c r="R26" i="1"/>
  <c r="F19" i="2"/>
  <c r="D5" i="6" l="1"/>
  <c r="D11" i="6" s="1"/>
  <c r="L12" i="5"/>
  <c r="R29" i="1"/>
  <c r="F29" i="2" s="1"/>
  <c r="F26" i="2"/>
  <c r="E7" i="7" s="1"/>
  <c r="E23" i="7" s="1"/>
  <c r="D13" i="6" l="1"/>
  <c r="D15" i="6" s="1"/>
  <c r="B18" i="6" s="1"/>
  <c r="B20" i="6" s="1"/>
  <c r="E8" i="7"/>
  <c r="E9" i="7" s="1"/>
  <c r="E18" i="7"/>
  <c r="N12" i="5"/>
  <c r="N13" i="5" s="1"/>
  <c r="E13" i="7" l="1"/>
  <c r="E11" i="7"/>
  <c r="E21" i="7"/>
  <c r="E16" i="7"/>
  <c r="E19" i="7" s="1"/>
  <c r="E14" i="7"/>
  <c r="E10" i="7"/>
  <c r="M12" i="5"/>
  <c r="B19" i="6"/>
  <c r="B22" i="6" s="1"/>
  <c r="B23" i="6" s="1"/>
  <c r="E22" i="7" l="1"/>
</calcChain>
</file>

<file path=xl/sharedStrings.xml><?xml version="1.0" encoding="utf-8"?>
<sst xmlns="http://schemas.openxmlformats.org/spreadsheetml/2006/main" count="462" uniqueCount="263">
  <si>
    <t>Revenue</t>
  </si>
  <si>
    <t>TCE income</t>
  </si>
  <si>
    <t>Voyage expenses</t>
  </si>
  <si>
    <t>Other operating income</t>
  </si>
  <si>
    <t>Other operating expenses</t>
  </si>
  <si>
    <t>EBITDA</t>
  </si>
  <si>
    <t>Gain/loss disposal property</t>
  </si>
  <si>
    <t>Gain/loss disposal subsidiaries</t>
  </si>
  <si>
    <t>Amortization</t>
  </si>
  <si>
    <t>Depreciation</t>
  </si>
  <si>
    <t>Write-back</t>
  </si>
  <si>
    <t xml:space="preserve">EBIT </t>
  </si>
  <si>
    <t>Foreign currency</t>
  </si>
  <si>
    <t>Interest income</t>
  </si>
  <si>
    <t>Interest expense</t>
  </si>
  <si>
    <t>Other finance</t>
  </si>
  <si>
    <t>Net finance</t>
  </si>
  <si>
    <t>Profit before tax</t>
  </si>
  <si>
    <t>Tax</t>
  </si>
  <si>
    <t>Other comprehensive income</t>
  </si>
  <si>
    <t>Net profit</t>
  </si>
  <si>
    <t>Majority</t>
  </si>
  <si>
    <t>Minority</t>
  </si>
  <si>
    <t>Comprehensive income</t>
  </si>
  <si>
    <t>Balance sheet</t>
  </si>
  <si>
    <t>Charter hire contracts</t>
  </si>
  <si>
    <t>Intangible asset</t>
  </si>
  <si>
    <t>Vessels</t>
  </si>
  <si>
    <t>Vessels under construction</t>
  </si>
  <si>
    <t>Dry docking</t>
  </si>
  <si>
    <t>Total property, plant and equipment</t>
  </si>
  <si>
    <t>Total non-current assets</t>
  </si>
  <si>
    <t>Inventories</t>
  </si>
  <si>
    <t>Trade and other receivables</t>
  </si>
  <si>
    <t>Cash and cash equivalents</t>
  </si>
  <si>
    <t>Total current assets</t>
  </si>
  <si>
    <t>Non-current asset held for sale</t>
  </si>
  <si>
    <t>Total assets</t>
  </si>
  <si>
    <t>Share capital</t>
  </si>
  <si>
    <t>Retained earnings</t>
  </si>
  <si>
    <t>Non-controlling interest</t>
  </si>
  <si>
    <t>Total equity</t>
  </si>
  <si>
    <t>Total non-current liabilities</t>
  </si>
  <si>
    <t>Long term borrowings</t>
  </si>
  <si>
    <t xml:space="preserve">Short term borrowings </t>
  </si>
  <si>
    <t>Current income tax liabilities</t>
  </si>
  <si>
    <t>Trade and other payables</t>
  </si>
  <si>
    <t>Total current liabilities</t>
  </si>
  <si>
    <t>Total liabilities</t>
  </si>
  <si>
    <t>Total equity and liabilities</t>
  </si>
  <si>
    <t>Cash flow statement</t>
  </si>
  <si>
    <t>Profit from the financial period</t>
  </si>
  <si>
    <t>Amortisation charge</t>
  </si>
  <si>
    <t>Amortisation of deferred income</t>
  </si>
  <si>
    <t>Depreciation charge</t>
  </si>
  <si>
    <t>Net impairment charge</t>
  </si>
  <si>
    <t>Loss on disposal of property and plant</t>
  </si>
  <si>
    <t>Loss on disposal of subsidiary</t>
  </si>
  <si>
    <t>Foreign exhange currency</t>
  </si>
  <si>
    <t xml:space="preserve">Operating CF before WC changes </t>
  </si>
  <si>
    <t>Cash generated from operations</t>
  </si>
  <si>
    <t>Taxes paid</t>
  </si>
  <si>
    <t>Net operating CF</t>
  </si>
  <si>
    <t>Average TCE equivalent</t>
  </si>
  <si>
    <t>Purchase of property and plant</t>
  </si>
  <si>
    <t>Disposal of property and plant</t>
  </si>
  <si>
    <t>Disposal of subsidiaries</t>
  </si>
  <si>
    <t>Interest received</t>
  </si>
  <si>
    <t>Net financing CF</t>
  </si>
  <si>
    <t>Net investment CF</t>
  </si>
  <si>
    <t>Funding from holding corporation</t>
  </si>
  <si>
    <t>Proceeds from borrowings</t>
  </si>
  <si>
    <t>Funding to fellow subsidiary</t>
  </si>
  <si>
    <t>Repayments of borrowings</t>
  </si>
  <si>
    <t>Distributions to partnerships</t>
  </si>
  <si>
    <t>Interest paid</t>
  </si>
  <si>
    <t>Other finance income received</t>
  </si>
  <si>
    <t>Payment to non-controlling interests</t>
  </si>
  <si>
    <t>Net change cash and cash equivalents</t>
  </si>
  <si>
    <t>Cash at beginning of period</t>
  </si>
  <si>
    <t>Cash at end of period</t>
  </si>
  <si>
    <t>Q3</t>
  </si>
  <si>
    <t>Q4</t>
  </si>
  <si>
    <t>Q1</t>
  </si>
  <si>
    <t>Q2</t>
  </si>
  <si>
    <t>Charter hire expense</t>
  </si>
  <si>
    <t>Net derivative</t>
  </si>
  <si>
    <t>Derivative asset</t>
  </si>
  <si>
    <t>Share premium</t>
  </si>
  <si>
    <t>Contributed surplus</t>
  </si>
  <si>
    <t>Other reserves</t>
  </si>
  <si>
    <t>Short term deferred income</t>
  </si>
  <si>
    <t>Long term deferred income</t>
  </si>
  <si>
    <t>Repayment to related party</t>
  </si>
  <si>
    <t>Repayment from fellow subsidiary</t>
  </si>
  <si>
    <t>Repayment of finance lease</t>
  </si>
  <si>
    <t>Proceeds from issuance of shares</t>
  </si>
  <si>
    <t>Share issue expenses</t>
  </si>
  <si>
    <t>Others</t>
  </si>
  <si>
    <t>Derivative financial instruments</t>
  </si>
  <si>
    <t>Derivative financial instrument</t>
  </si>
  <si>
    <t>Share based payments</t>
  </si>
  <si>
    <t>Dividend paid</t>
  </si>
  <si>
    <t>Other finance expense paid</t>
  </si>
  <si>
    <t>BW Austria</t>
  </si>
  <si>
    <t>BW Borg</t>
  </si>
  <si>
    <t>BW Boss</t>
  </si>
  <si>
    <t>BW Confidence</t>
  </si>
  <si>
    <t>BW Denise</t>
  </si>
  <si>
    <t>BW Empress</t>
  </si>
  <si>
    <t>BW Energy</t>
  </si>
  <si>
    <t xml:space="preserve">BW Liberty </t>
  </si>
  <si>
    <t>BW Lord</t>
  </si>
  <si>
    <t>BW Loyalty</t>
  </si>
  <si>
    <t>BW Prince</t>
  </si>
  <si>
    <t>BW Princess</t>
  </si>
  <si>
    <t>BW Trader</t>
  </si>
  <si>
    <t>BW Vision</t>
  </si>
  <si>
    <t>BW Birch</t>
  </si>
  <si>
    <t>BW Cedar</t>
  </si>
  <si>
    <t>BW Maple</t>
  </si>
  <si>
    <t>BW Oak</t>
  </si>
  <si>
    <t>BW Pine</t>
  </si>
  <si>
    <t>Nybygg 4</t>
  </si>
  <si>
    <t>Nybygg 5</t>
  </si>
  <si>
    <t>Nybygg 6</t>
  </si>
  <si>
    <t>VLGC egeneid</t>
  </si>
  <si>
    <t xml:space="preserve">VLGC Charter inn </t>
  </si>
  <si>
    <t>Berge Nantong</t>
  </si>
  <si>
    <t>Berge Ningbo</t>
  </si>
  <si>
    <t>Berge Summit</t>
  </si>
  <si>
    <t>BW Broker</t>
  </si>
  <si>
    <t>BW Kyoto</t>
  </si>
  <si>
    <t>BW Tokyo</t>
  </si>
  <si>
    <t>Reimei</t>
  </si>
  <si>
    <t>Vermilion First</t>
  </si>
  <si>
    <t>Yuricosmos</t>
  </si>
  <si>
    <t>Yuyo Spirits</t>
  </si>
  <si>
    <t>Gas Capricorn</t>
  </si>
  <si>
    <t>LGC egeneid</t>
  </si>
  <si>
    <t>BW Havfrost</t>
  </si>
  <si>
    <t>BW Havis</t>
  </si>
  <si>
    <t>BW Helios</t>
  </si>
  <si>
    <t xml:space="preserve">BW Nantes </t>
  </si>
  <si>
    <t>BW Nice</t>
  </si>
  <si>
    <t>Nybygg 7</t>
  </si>
  <si>
    <t>Nybygg 8</t>
  </si>
  <si>
    <t>BW Aries</t>
  </si>
  <si>
    <t>Antall dager</t>
  </si>
  <si>
    <t>Sum</t>
  </si>
  <si>
    <t>I %</t>
  </si>
  <si>
    <t>Q1 15</t>
  </si>
  <si>
    <t>Q2 15</t>
  </si>
  <si>
    <t>Q3 15</t>
  </si>
  <si>
    <t>Q4 15</t>
  </si>
  <si>
    <t>Q2 16</t>
  </si>
  <si>
    <t xml:space="preserve">Egeneid VLGC </t>
  </si>
  <si>
    <t>LGC</t>
  </si>
  <si>
    <t>Egeneid LGC</t>
  </si>
  <si>
    <t>Netto VLGC</t>
  </si>
  <si>
    <t>Per ship per day</t>
  </si>
  <si>
    <t xml:space="preserve">Total VLGC </t>
  </si>
  <si>
    <t>Total LGC</t>
  </si>
  <si>
    <t xml:space="preserve">Inflasjon CQGR </t>
  </si>
  <si>
    <t>År</t>
  </si>
  <si>
    <t>Kvartal</t>
  </si>
  <si>
    <t>Optimistisk</t>
  </si>
  <si>
    <t>Pesimistisk</t>
  </si>
  <si>
    <t>G&amp;A</t>
  </si>
  <si>
    <t>Vessel OPEX</t>
  </si>
  <si>
    <t>Total flåte</t>
  </si>
  <si>
    <t>VLGC</t>
  </si>
  <si>
    <t>Debt</t>
  </si>
  <si>
    <t>Interest rate</t>
  </si>
  <si>
    <t>Interest cost</t>
  </si>
  <si>
    <t>EBIT</t>
  </si>
  <si>
    <t>Capex</t>
  </si>
  <si>
    <t>Net WC</t>
  </si>
  <si>
    <t>FCF</t>
  </si>
  <si>
    <t>WACC</t>
  </si>
  <si>
    <t>Perpetuity</t>
  </si>
  <si>
    <t>Discount factor</t>
  </si>
  <si>
    <t>DFCF</t>
  </si>
  <si>
    <t>Terminal value</t>
  </si>
  <si>
    <t>Enterprise value</t>
  </si>
  <si>
    <t>Cash</t>
  </si>
  <si>
    <t>Equity value</t>
  </si>
  <si>
    <t>Nr of shares</t>
  </si>
  <si>
    <t>Fair value share</t>
  </si>
  <si>
    <t>Fair value NOK</t>
  </si>
  <si>
    <t>USD/NOK</t>
  </si>
  <si>
    <t>Div.policy</t>
  </si>
  <si>
    <t>PAT</t>
  </si>
  <si>
    <t>Dividend</t>
  </si>
  <si>
    <t>Shareprice NOK</t>
  </si>
  <si>
    <t>Shareprice USD</t>
  </si>
  <si>
    <t>Per share</t>
  </si>
  <si>
    <t>Div.yield</t>
  </si>
  <si>
    <t>Stock ex div</t>
  </si>
  <si>
    <t>Stock ex div NOK</t>
  </si>
  <si>
    <t>Per share NOK</t>
  </si>
  <si>
    <t>Percentage of fleet days</t>
  </si>
  <si>
    <t>Spot revenue</t>
  </si>
  <si>
    <t>Confirmed revenue</t>
  </si>
  <si>
    <t>Rev per ship per day total</t>
  </si>
  <si>
    <t>Market value equity</t>
  </si>
  <si>
    <t>Stock price</t>
  </si>
  <si>
    <t>Shares</t>
  </si>
  <si>
    <t>Stock price USD</t>
  </si>
  <si>
    <t>Market value debt</t>
  </si>
  <si>
    <t>Weight of equity</t>
  </si>
  <si>
    <t>Total market value</t>
  </si>
  <si>
    <t>Weight of debt</t>
  </si>
  <si>
    <t>Risk free rate</t>
  </si>
  <si>
    <t>Risk premium</t>
  </si>
  <si>
    <t>Beta</t>
  </si>
  <si>
    <t>Cost of debt</t>
  </si>
  <si>
    <t>Cost of equity</t>
  </si>
  <si>
    <t>P/E</t>
  </si>
  <si>
    <t>EV/EBIT</t>
  </si>
  <si>
    <t>NIBD</t>
  </si>
  <si>
    <t>Snitt</t>
  </si>
  <si>
    <t>Inn</t>
  </si>
  <si>
    <t>Ut</t>
  </si>
  <si>
    <t>H2 2014</t>
  </si>
  <si>
    <t>LGC TCE per ship per day</t>
  </si>
  <si>
    <t>VLGC confirmed TCE</t>
  </si>
  <si>
    <t>VLGC spot TCE</t>
  </si>
  <si>
    <t>VLGC TCE per ship per day</t>
  </si>
  <si>
    <t>LGC per ship per day</t>
  </si>
  <si>
    <t>Treasury shares</t>
  </si>
  <si>
    <t>Q1 16</t>
  </si>
  <si>
    <t>Utilization</t>
  </si>
  <si>
    <t>EV/EBITDA</t>
  </si>
  <si>
    <t>Shares NOK</t>
  </si>
  <si>
    <t>Nr shares</t>
  </si>
  <si>
    <t>Equity</t>
  </si>
  <si>
    <t>P/B</t>
  </si>
  <si>
    <t>ROE</t>
  </si>
  <si>
    <t>E/P</t>
  </si>
  <si>
    <t>2015e</t>
  </si>
  <si>
    <t>2016e</t>
  </si>
  <si>
    <t>2017e</t>
  </si>
  <si>
    <t>TCE</t>
  </si>
  <si>
    <t>Base case</t>
  </si>
  <si>
    <t>Charter VLGC</t>
  </si>
  <si>
    <t>Pragmatisk</t>
  </si>
  <si>
    <t>spot TCE</t>
  </si>
  <si>
    <t>Basis</t>
  </si>
  <si>
    <t>NB additions</t>
  </si>
  <si>
    <t>Change</t>
  </si>
  <si>
    <t xml:space="preserve">Change </t>
  </si>
  <si>
    <t>2016 basis spot sensitivity 92% uti</t>
  </si>
  <si>
    <t>Total profit</t>
  </si>
  <si>
    <t>2015 basis total sensitivity 98% uti</t>
  </si>
  <si>
    <t>2017 basis spot sensitivity 92% uti</t>
  </si>
  <si>
    <t>TCE-snitt:</t>
  </si>
  <si>
    <t>BW Canica</t>
  </si>
  <si>
    <t>Bygggeår</t>
  </si>
  <si>
    <t>Multiple sensitivity 2016/2017e</t>
  </si>
  <si>
    <t>Sikrede flåtedager:</t>
  </si>
  <si>
    <t>BW Gemini</t>
  </si>
  <si>
    <t>Derivate financial instrument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</si>
</sst>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\ %"/>
    <numFmt numFmtId="165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13">
    <xf numFmtId="0" fontId="0" fillId="0" borderId="0" xfId="0"/>
    <xf numFmtId="0" fontId="1" fillId="0" borderId="0" xfId="0" applyFont="1"/>
    <xf numFmtId="2" fontId="0" fillId="0" borderId="0" xfId="0" applyNumberFormat="1"/>
    <xf numFmtId="9" fontId="0" fillId="0" borderId="0" xfId="1" applyFont="1"/>
    <xf numFmtId="2" fontId="1" fillId="0" borderId="0" xfId="0" applyNumberFormat="1" applyFont="1"/>
    <xf numFmtId="164" fontId="0" fillId="0" borderId="0" xfId="1" applyNumberFormat="1" applyFont="1"/>
    <xf numFmtId="10" fontId="0" fillId="0" borderId="0" xfId="1" applyNumberFormat="1" applyFont="1"/>
    <xf numFmtId="10" fontId="0" fillId="0" borderId="0" xfId="0" applyNumberFormat="1"/>
    <xf numFmtId="2" fontId="0" fillId="0" borderId="0" xfId="0" applyNumberFormat="1" applyFont="1"/>
    <xf numFmtId="165" fontId="0" fillId="0" borderId="0" xfId="0" applyNumberFormat="1"/>
    <xf numFmtId="16" fontId="0" fillId="0" borderId="0" xfId="0" applyNumberFormat="1"/>
    <xf numFmtId="0" fontId="0" fillId="0" borderId="0" xfId="0" applyAlignment="1">
      <alignment horizontal="center"/>
    </xf>
    <xf numFmtId="0" fontId="0" fillId="0" borderId="0" xfId="0" applyFont="1"/>
  </cellXfs>
  <cellStyles count="2">
    <cellStyle name="Normal" xfId="0" builtinId="0"/>
    <cellStyle name="Pros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21"/>
  <sheetViews>
    <sheetView workbookViewId="0">
      <pane xSplit="1" ySplit="2" topLeftCell="E6" activePane="bottomRight" state="frozen"/>
      <selection pane="topRight" activeCell="B1" sqref="B1"/>
      <selection pane="bottomLeft" activeCell="A3" sqref="A3"/>
      <selection pane="bottomRight" activeCell="H14" sqref="H14"/>
    </sheetView>
  </sheetViews>
  <sheetFormatPr baseColWidth="10" defaultRowHeight="14.5" x14ac:dyDescent="0.35"/>
  <cols>
    <col min="1" max="1" width="32.90625" bestFit="1" customWidth="1"/>
    <col min="2" max="2" width="9.7265625" customWidth="1"/>
  </cols>
  <sheetData>
    <row r="1" spans="1:19" x14ac:dyDescent="0.35">
      <c r="B1">
        <v>2013</v>
      </c>
      <c r="D1">
        <v>2014</v>
      </c>
      <c r="H1">
        <v>2015</v>
      </c>
      <c r="L1">
        <v>2016</v>
      </c>
      <c r="P1">
        <v>2017</v>
      </c>
    </row>
    <row r="2" spans="1:19" x14ac:dyDescent="0.35">
      <c r="B2" t="s">
        <v>81</v>
      </c>
      <c r="C2" t="s">
        <v>82</v>
      </c>
      <c r="D2" t="s">
        <v>83</v>
      </c>
      <c r="E2" t="s">
        <v>84</v>
      </c>
      <c r="F2" t="s">
        <v>81</v>
      </c>
      <c r="G2" t="s">
        <v>82</v>
      </c>
      <c r="H2" t="s">
        <v>83</v>
      </c>
      <c r="I2" t="s">
        <v>84</v>
      </c>
      <c r="J2" t="s">
        <v>81</v>
      </c>
      <c r="K2" t="s">
        <v>82</v>
      </c>
      <c r="L2" t="s">
        <v>83</v>
      </c>
      <c r="M2" t="s">
        <v>84</v>
      </c>
      <c r="N2" t="s">
        <v>81</v>
      </c>
      <c r="O2" t="s">
        <v>82</v>
      </c>
      <c r="P2" t="s">
        <v>83</v>
      </c>
      <c r="Q2" t="s">
        <v>84</v>
      </c>
      <c r="R2" t="s">
        <v>81</v>
      </c>
      <c r="S2" t="s">
        <v>82</v>
      </c>
    </row>
    <row r="3" spans="1:19" x14ac:dyDescent="0.35">
      <c r="A3" s="1" t="s">
        <v>23</v>
      </c>
    </row>
    <row r="5" spans="1:19" x14ac:dyDescent="0.35">
      <c r="A5" s="1" t="s">
        <v>63</v>
      </c>
      <c r="B5">
        <v>32.6</v>
      </c>
      <c r="C5">
        <v>35.6</v>
      </c>
      <c r="D5">
        <v>32.700000000000003</v>
      </c>
      <c r="E5">
        <v>45.2</v>
      </c>
      <c r="F5">
        <v>53.6</v>
      </c>
      <c r="G5">
        <v>44.1</v>
      </c>
    </row>
    <row r="7" spans="1:19" x14ac:dyDescent="0.35">
      <c r="A7" t="s">
        <v>0</v>
      </c>
      <c r="B7">
        <v>112.37</v>
      </c>
      <c r="C7">
        <v>153.69999999999999</v>
      </c>
      <c r="D7">
        <v>150.76</v>
      </c>
      <c r="E7">
        <v>202.96</v>
      </c>
      <c r="F7">
        <v>211.36</v>
      </c>
      <c r="G7" s="2">
        <v>182.28</v>
      </c>
      <c r="H7" s="2">
        <f>Assumptions!C33</f>
        <v>210.32068607999997</v>
      </c>
      <c r="I7" s="2">
        <f>Assumptions!D33</f>
        <v>204.51649553819996</v>
      </c>
      <c r="J7" s="2">
        <f>Assumptions!E33</f>
        <v>210.57206060995199</v>
      </c>
      <c r="K7" s="2">
        <f>Assumptions!F33</f>
        <v>216.63615041653304</v>
      </c>
      <c r="L7" s="2">
        <f>Assumptions!G33</f>
        <v>155.35161129190163</v>
      </c>
      <c r="M7" s="2">
        <f>Assumptions!H33</f>
        <v>151.36025605693871</v>
      </c>
      <c r="N7" s="2">
        <f>Assumptions!I33</f>
        <v>159.61842476978245</v>
      </c>
      <c r="O7" s="2">
        <f>Assumptions!J33</f>
        <v>159.71280509363132</v>
      </c>
      <c r="P7" s="2">
        <f>Assumptions!K33</f>
        <v>159.58854070725627</v>
      </c>
      <c r="Q7" s="2">
        <f>Assumptions!L33</f>
        <v>159.67871441079254</v>
      </c>
      <c r="R7" s="2">
        <f>Assumptions!M33</f>
        <v>159.76933898284651</v>
      </c>
      <c r="S7" s="2">
        <f>Assumptions!N33</f>
        <v>159.86041667776075</v>
      </c>
    </row>
    <row r="8" spans="1:19" x14ac:dyDescent="0.35">
      <c r="A8" t="s">
        <v>2</v>
      </c>
      <c r="B8">
        <v>-36.47</v>
      </c>
      <c r="C8">
        <v>-51.93</v>
      </c>
      <c r="D8">
        <v>-50.37</v>
      </c>
      <c r="E8">
        <v>-62.14</v>
      </c>
      <c r="F8">
        <v>-52.12</v>
      </c>
      <c r="G8" s="2">
        <v>-43.56</v>
      </c>
      <c r="H8" s="2">
        <f>Assumptions!C40</f>
        <v>-53.376353999999999</v>
      </c>
      <c r="I8" s="2">
        <f>Assumptions!D40</f>
        <v>-52.12880428499998</v>
      </c>
      <c r="J8" s="2">
        <f>Assumptions!E40</f>
        <v>-53.911451948849979</v>
      </c>
      <c r="K8" s="2">
        <f>Assumptions!F40</f>
        <v>-55.710622869231344</v>
      </c>
      <c r="L8" s="2">
        <f>Assumptions!G40</f>
        <v>-54.063446554826932</v>
      </c>
      <c r="M8" s="2">
        <f>Assumptions!H40</f>
        <v>-52.883404405378393</v>
      </c>
      <c r="N8" s="2">
        <f>Assumptions!I40</f>
        <v>-56.063043785672839</v>
      </c>
      <c r="O8" s="2">
        <f>Assumptions!J40</f>
        <v>-56.343359004601197</v>
      </c>
      <c r="P8" s="2">
        <f>Assumptions!K40</f>
        <v>-56.625075799624199</v>
      </c>
      <c r="Q8" s="2">
        <f>Assumptions!L40</f>
        <v>-56.908201178622306</v>
      </c>
      <c r="R8" s="2">
        <f>Assumptions!M40</f>
        <v>-57.192742184515417</v>
      </c>
      <c r="S8" s="2">
        <f>Assumptions!N40</f>
        <v>-57.478705895437983</v>
      </c>
    </row>
    <row r="9" spans="1:19" x14ac:dyDescent="0.35">
      <c r="A9" s="1" t="s">
        <v>1</v>
      </c>
      <c r="B9" s="1">
        <f>SUM(B7:B8)</f>
        <v>75.900000000000006</v>
      </c>
      <c r="C9" s="1">
        <f t="shared" ref="C9:F9" si="0">SUM(C7:C8)</f>
        <v>101.76999999999998</v>
      </c>
      <c r="D9" s="1">
        <f t="shared" si="0"/>
        <v>100.38999999999999</v>
      </c>
      <c r="E9" s="1">
        <f t="shared" si="0"/>
        <v>140.82</v>
      </c>
      <c r="F9" s="1">
        <f t="shared" si="0"/>
        <v>159.24</v>
      </c>
      <c r="G9" s="4">
        <f>G7+G8</f>
        <v>138.72</v>
      </c>
      <c r="H9" s="4">
        <f>H7+H8</f>
        <v>156.94433207999998</v>
      </c>
      <c r="I9" s="4">
        <f t="shared" ref="I9:M9" si="1">I7+I8</f>
        <v>152.38769125319999</v>
      </c>
      <c r="J9" s="4">
        <f t="shared" si="1"/>
        <v>156.660608661102</v>
      </c>
      <c r="K9" s="4">
        <f t="shared" si="1"/>
        <v>160.9255275473017</v>
      </c>
      <c r="L9" s="4">
        <f t="shared" si="1"/>
        <v>101.28816473707471</v>
      </c>
      <c r="M9" s="4">
        <f t="shared" si="1"/>
        <v>98.47685165156031</v>
      </c>
      <c r="N9" s="4">
        <f t="shared" ref="N9" si="2">N7+N8</f>
        <v>103.5553809841096</v>
      </c>
      <c r="O9" s="4">
        <f t="shared" ref="O9" si="3">O7+O8</f>
        <v>103.36944608903012</v>
      </c>
      <c r="P9" s="4">
        <f t="shared" ref="P9" si="4">P7+P8</f>
        <v>102.96346490763207</v>
      </c>
      <c r="Q9" s="4">
        <f t="shared" ref="Q9" si="5">Q7+Q8</f>
        <v>102.77051323217023</v>
      </c>
      <c r="R9" s="4">
        <f t="shared" ref="R9" si="6">R7+R8</f>
        <v>102.57659679833108</v>
      </c>
      <c r="S9" s="4">
        <f t="shared" ref="S9" si="7">S7+S8</f>
        <v>102.38171078232277</v>
      </c>
    </row>
    <row r="10" spans="1:19" x14ac:dyDescent="0.35">
      <c r="A10" t="s">
        <v>3</v>
      </c>
      <c r="B10">
        <v>0.1</v>
      </c>
      <c r="C10">
        <v>0.51</v>
      </c>
      <c r="D10">
        <v>0.83</v>
      </c>
      <c r="E10">
        <v>0.04</v>
      </c>
      <c r="F10">
        <v>0.5</v>
      </c>
      <c r="G10">
        <v>0.5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</row>
    <row r="11" spans="1:19" x14ac:dyDescent="0.35">
      <c r="A11" t="s">
        <v>85</v>
      </c>
      <c r="B11">
        <v>0</v>
      </c>
      <c r="C11">
        <v>-22.71</v>
      </c>
      <c r="D11">
        <v>-24.25</v>
      </c>
      <c r="E11">
        <v>-24.7</v>
      </c>
      <c r="F11">
        <v>-24.96</v>
      </c>
      <c r="G11" s="2">
        <v>-24.19</v>
      </c>
      <c r="H11" s="2">
        <f>Assumptions!C45</f>
        <v>-22</v>
      </c>
      <c r="I11" s="2">
        <f>Assumptions!D45</f>
        <v>-22</v>
      </c>
      <c r="J11" s="2">
        <f>Assumptions!E45</f>
        <v>-22</v>
      </c>
      <c r="K11" s="2">
        <f>Assumptions!F45</f>
        <v>-22</v>
      </c>
      <c r="L11" s="2">
        <f>Assumptions!G45</f>
        <v>-22</v>
      </c>
      <c r="M11" s="2">
        <f>Assumptions!H45</f>
        <v>-22</v>
      </c>
      <c r="N11" s="2">
        <f>Assumptions!I45</f>
        <v>-22</v>
      </c>
      <c r="O11" s="2">
        <f>Assumptions!J45</f>
        <v>-22</v>
      </c>
      <c r="P11" s="2">
        <f>Assumptions!K45</f>
        <v>-22</v>
      </c>
      <c r="Q11" s="2">
        <f>Assumptions!L45</f>
        <v>-22</v>
      </c>
      <c r="R11" s="2">
        <f>Assumptions!M45</f>
        <v>-22</v>
      </c>
      <c r="S11" s="2">
        <f>Assumptions!N45</f>
        <v>-22</v>
      </c>
    </row>
    <row r="12" spans="1:19" x14ac:dyDescent="0.35">
      <c r="A12" t="s">
        <v>4</v>
      </c>
      <c r="B12">
        <v>-33.979999999999997</v>
      </c>
      <c r="C12">
        <v>-33.82</v>
      </c>
      <c r="D12">
        <v>-25.45</v>
      </c>
      <c r="E12">
        <v>-24.3</v>
      </c>
      <c r="F12">
        <v>-26</v>
      </c>
      <c r="G12" s="2">
        <v>-27.1</v>
      </c>
      <c r="H12" s="2">
        <f>Assumptions!C50</f>
        <v>-27.721249999999998</v>
      </c>
      <c r="I12" s="2">
        <f>Assumptions!D50</f>
        <v>-27.165149999999997</v>
      </c>
      <c r="J12" s="2">
        <f>Assumptions!E50</f>
        <v>-27.781700749999995</v>
      </c>
      <c r="K12" s="2">
        <f>Assumptions!F50</f>
        <v>-28.398403003749998</v>
      </c>
      <c r="L12" s="2">
        <f>Assumptions!G50</f>
        <v>-29.015257518768742</v>
      </c>
      <c r="M12" s="2">
        <f>Assumptions!H50</f>
        <v>-28.459765056362588</v>
      </c>
      <c r="N12" s="2">
        <f>Assumptions!I50</f>
        <v>-29.663176381644401</v>
      </c>
      <c r="O12" s="2">
        <f>Assumptions!J50</f>
        <v>-29.694242263552624</v>
      </c>
      <c r="P12" s="2">
        <f>Assumptions!K50</f>
        <v>-29.725463474870384</v>
      </c>
      <c r="Q12" s="2">
        <f>Assumptions!L50</f>
        <v>-29.756840792244738</v>
      </c>
      <c r="R12" s="2">
        <f>Assumptions!M50</f>
        <v>-29.78837499620596</v>
      </c>
      <c r="S12" s="2">
        <f>Assumptions!N50</f>
        <v>-29.820066871186988</v>
      </c>
    </row>
    <row r="13" spans="1:19" x14ac:dyDescent="0.35">
      <c r="A13" s="1" t="s">
        <v>5</v>
      </c>
      <c r="B13" s="1">
        <f>SUM(B9:B12)</f>
        <v>42.02</v>
      </c>
      <c r="C13" s="1">
        <f>SUM(C9:C12)</f>
        <v>45.749999999999993</v>
      </c>
      <c r="D13" s="1">
        <f>SUM(D9:D12)</f>
        <v>51.519999999999982</v>
      </c>
      <c r="E13" s="1">
        <f>SUM(E9:E12)</f>
        <v>91.859999999999985</v>
      </c>
      <c r="F13" s="4">
        <f>SUM(F9:F12)</f>
        <v>108.78</v>
      </c>
      <c r="G13" s="4">
        <f t="shared" ref="G13:O13" si="8">SUM(G9:G12)</f>
        <v>87.93</v>
      </c>
      <c r="H13" s="4">
        <f t="shared" si="8"/>
        <v>107.22308207999998</v>
      </c>
      <c r="I13" s="4">
        <f t="shared" si="8"/>
        <v>103.22254125319999</v>
      </c>
      <c r="J13" s="4">
        <f t="shared" si="8"/>
        <v>106.878907911102</v>
      </c>
      <c r="K13" s="4">
        <f t="shared" si="8"/>
        <v>110.52712454355171</v>
      </c>
      <c r="L13" s="4">
        <f t="shared" si="8"/>
        <v>50.272907218305967</v>
      </c>
      <c r="M13" s="4">
        <f t="shared" si="8"/>
        <v>48.017086595197725</v>
      </c>
      <c r="N13" s="4">
        <f t="shared" si="8"/>
        <v>51.892204602465199</v>
      </c>
      <c r="O13" s="4">
        <f t="shared" si="8"/>
        <v>51.675203825477496</v>
      </c>
      <c r="P13" s="4">
        <f t="shared" ref="P13" si="9">SUM(P9:P12)</f>
        <v>51.238001432761692</v>
      </c>
      <c r="Q13" s="4">
        <f t="shared" ref="Q13" si="10">SUM(Q9:Q12)</f>
        <v>51.013672439925493</v>
      </c>
      <c r="R13" s="4">
        <f t="shared" ref="R13" si="11">SUM(R9:R12)</f>
        <v>50.788221802125122</v>
      </c>
      <c r="S13" s="4">
        <f t="shared" ref="S13" si="12">SUM(S9:S12)</f>
        <v>50.561643911135782</v>
      </c>
    </row>
    <row r="14" spans="1:19" x14ac:dyDescent="0.35">
      <c r="A14" t="s">
        <v>6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</row>
    <row r="15" spans="1:19" x14ac:dyDescent="0.35">
      <c r="A15" t="s">
        <v>7</v>
      </c>
      <c r="B15">
        <v>-1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</row>
    <row r="16" spans="1:19" x14ac:dyDescent="0.35">
      <c r="A16" t="s">
        <v>8</v>
      </c>
      <c r="B16">
        <v>-1.58</v>
      </c>
      <c r="C16">
        <v>-1.23</v>
      </c>
      <c r="D16">
        <v>-1.23</v>
      </c>
      <c r="E16">
        <v>-1.23</v>
      </c>
      <c r="F16">
        <v>-1.23</v>
      </c>
      <c r="G16">
        <v>-1.23</v>
      </c>
      <c r="H16">
        <v>-1.23</v>
      </c>
      <c r="I16">
        <v>-1.23</v>
      </c>
      <c r="J16">
        <v>-1.23</v>
      </c>
      <c r="K16">
        <v>-1.23</v>
      </c>
      <c r="L16">
        <v>-1.23</v>
      </c>
      <c r="M16">
        <v>-1.23</v>
      </c>
      <c r="N16">
        <v>-1.23</v>
      </c>
      <c r="O16">
        <v>-1.23</v>
      </c>
      <c r="P16">
        <v>-1.23</v>
      </c>
      <c r="Q16">
        <v>-1.23</v>
      </c>
      <c r="R16">
        <v>-1.23</v>
      </c>
      <c r="S16">
        <v>-1.23</v>
      </c>
    </row>
    <row r="17" spans="1:19" x14ac:dyDescent="0.35">
      <c r="A17" t="s">
        <v>9</v>
      </c>
      <c r="B17">
        <v>-12</v>
      </c>
      <c r="C17">
        <v>-15.5</v>
      </c>
      <c r="D17">
        <v>-15.67</v>
      </c>
      <c r="E17">
        <v>-15.63</v>
      </c>
      <c r="F17">
        <v>-16.66</v>
      </c>
      <c r="G17">
        <v>-18.2</v>
      </c>
      <c r="H17">
        <f>Assumptions!C55</f>
        <v>-18.350000000000001</v>
      </c>
      <c r="I17" s="2">
        <f>Assumptions!D55</f>
        <v>-19.850000000000001</v>
      </c>
      <c r="J17" s="2">
        <f>Assumptions!E55</f>
        <v>-20.6</v>
      </c>
      <c r="K17" s="2">
        <f>Assumptions!F55</f>
        <v>-21.35</v>
      </c>
      <c r="L17" s="2">
        <f>Assumptions!G55</f>
        <v>-22.1</v>
      </c>
      <c r="M17" s="2">
        <f>Assumptions!H55</f>
        <v>-22.1</v>
      </c>
      <c r="N17">
        <f>Assumptions!I55</f>
        <v>-23.6</v>
      </c>
      <c r="O17">
        <f>Assumptions!J55</f>
        <v>-23.6</v>
      </c>
      <c r="P17">
        <f>Assumptions!K55</f>
        <v>-23.6</v>
      </c>
      <c r="Q17">
        <f>Assumptions!L55</f>
        <v>-23.6</v>
      </c>
      <c r="R17">
        <f>Assumptions!M55</f>
        <v>-23.6</v>
      </c>
      <c r="S17">
        <f>Assumptions!N55</f>
        <v>-23.6</v>
      </c>
    </row>
    <row r="18" spans="1:19" x14ac:dyDescent="0.35">
      <c r="A18" t="s">
        <v>10</v>
      </c>
      <c r="B18">
        <v>42.9</v>
      </c>
      <c r="C18">
        <v>9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</row>
    <row r="19" spans="1:19" x14ac:dyDescent="0.35">
      <c r="A19" s="1" t="s">
        <v>11</v>
      </c>
      <c r="B19" s="1">
        <f>SUM(B13:B18)</f>
        <v>70.34</v>
      </c>
      <c r="C19" s="1">
        <f t="shared" ref="C19:S19" si="13">SUM(C13:C18)</f>
        <v>38.019999999999996</v>
      </c>
      <c r="D19" s="1">
        <f t="shared" si="13"/>
        <v>34.619999999999983</v>
      </c>
      <c r="E19" s="1">
        <f t="shared" si="13"/>
        <v>74.999999999999986</v>
      </c>
      <c r="F19" s="4">
        <f t="shared" si="13"/>
        <v>90.89</v>
      </c>
      <c r="G19" s="4">
        <f t="shared" si="13"/>
        <v>68.5</v>
      </c>
      <c r="H19" s="4">
        <f t="shared" si="13"/>
        <v>87.643082079999971</v>
      </c>
      <c r="I19" s="4">
        <f t="shared" si="13"/>
        <v>82.142541253199994</v>
      </c>
      <c r="J19" s="4">
        <f t="shared" si="13"/>
        <v>85.048907911101992</v>
      </c>
      <c r="K19" s="4">
        <f t="shared" si="13"/>
        <v>87.947124543551695</v>
      </c>
      <c r="L19" s="4">
        <f t="shared" si="13"/>
        <v>26.942907218305969</v>
      </c>
      <c r="M19" s="4">
        <f t="shared" si="13"/>
        <v>24.687086595197727</v>
      </c>
      <c r="N19" s="4">
        <f t="shared" si="13"/>
        <v>27.062204602465201</v>
      </c>
      <c r="O19" s="4">
        <f t="shared" si="13"/>
        <v>26.845203825477498</v>
      </c>
      <c r="P19" s="4">
        <f t="shared" si="13"/>
        <v>26.408001432761694</v>
      </c>
      <c r="Q19" s="4">
        <f t="shared" si="13"/>
        <v>26.183672439925495</v>
      </c>
      <c r="R19" s="4">
        <f t="shared" si="13"/>
        <v>25.958221802125124</v>
      </c>
      <c r="S19" s="4">
        <f t="shared" si="13"/>
        <v>25.731643911135784</v>
      </c>
    </row>
    <row r="20" spans="1:19" x14ac:dyDescent="0.35">
      <c r="A20" t="s">
        <v>12</v>
      </c>
      <c r="B20">
        <v>0</v>
      </c>
      <c r="C20">
        <v>-0.02</v>
      </c>
      <c r="D20">
        <v>0</v>
      </c>
      <c r="E20">
        <v>-0.02</v>
      </c>
      <c r="F20">
        <v>-0.04</v>
      </c>
      <c r="G20">
        <v>-0.15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</row>
    <row r="21" spans="1:19" x14ac:dyDescent="0.35">
      <c r="A21" t="s">
        <v>13</v>
      </c>
      <c r="B21">
        <v>0</v>
      </c>
      <c r="C21">
        <v>0.05</v>
      </c>
      <c r="D21">
        <v>0.04</v>
      </c>
      <c r="E21">
        <v>0.03</v>
      </c>
      <c r="F21">
        <v>0.03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</row>
    <row r="22" spans="1:19" x14ac:dyDescent="0.35">
      <c r="A22" t="s">
        <v>14</v>
      </c>
      <c r="B22">
        <v>-1.26</v>
      </c>
      <c r="C22">
        <v>-2.2000000000000002</v>
      </c>
      <c r="D22">
        <v>-2.86</v>
      </c>
      <c r="E22">
        <v>-2.65</v>
      </c>
      <c r="F22">
        <v>-2.42</v>
      </c>
      <c r="G22" s="2">
        <v>-2.4500000000000002</v>
      </c>
      <c r="H22" s="2">
        <f>Debt!C9</f>
        <v>-2.65</v>
      </c>
      <c r="I22" s="2">
        <f>Debt!D9</f>
        <v>-2.65</v>
      </c>
      <c r="J22" s="2">
        <f>Debt!E9</f>
        <v>-2.65</v>
      </c>
      <c r="K22" s="2">
        <f>Debt!F9</f>
        <v>-2.65</v>
      </c>
      <c r="L22" s="2">
        <f>Debt!G9</f>
        <v>-2.65</v>
      </c>
      <c r="M22" s="2">
        <f>Debt!H9</f>
        <v>-2.65</v>
      </c>
      <c r="N22" s="2">
        <f>Debt!I9</f>
        <v>-2.65</v>
      </c>
      <c r="O22" s="2">
        <f>Debt!J9</f>
        <v>-2.65</v>
      </c>
      <c r="P22" s="2">
        <f>Debt!K9</f>
        <v>-2.65</v>
      </c>
      <c r="Q22" s="2">
        <f>Debt!L9</f>
        <v>-2.65</v>
      </c>
      <c r="R22" s="2">
        <f>Debt!M9</f>
        <v>-2.65</v>
      </c>
      <c r="S22" s="2">
        <f>Debt!N9</f>
        <v>-2.65</v>
      </c>
    </row>
    <row r="23" spans="1:19" x14ac:dyDescent="0.35">
      <c r="A23" t="s">
        <v>86</v>
      </c>
      <c r="B23">
        <v>0</v>
      </c>
      <c r="C23">
        <v>0.18</v>
      </c>
      <c r="D23">
        <v>-0.36</v>
      </c>
      <c r="E23">
        <v>0.31</v>
      </c>
      <c r="F23">
        <v>-0.54</v>
      </c>
      <c r="G23">
        <v>-0.36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</row>
    <row r="24" spans="1:19" x14ac:dyDescent="0.35">
      <c r="A24" t="s">
        <v>15</v>
      </c>
      <c r="B24">
        <v>-0.09</v>
      </c>
      <c r="C24">
        <v>-0.15</v>
      </c>
      <c r="D24">
        <v>-0.67</v>
      </c>
      <c r="E24">
        <v>-0.02</v>
      </c>
      <c r="F24">
        <v>-0.23</v>
      </c>
      <c r="G24">
        <v>-0.31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</row>
    <row r="25" spans="1:19" x14ac:dyDescent="0.35">
      <c r="A25" s="1" t="s">
        <v>16</v>
      </c>
      <c r="B25" s="1">
        <f>SUM(B20:B24)</f>
        <v>-1.35</v>
      </c>
      <c r="C25" s="1">
        <f>SUM(C20:C24)</f>
        <v>-2.1400000000000006</v>
      </c>
      <c r="D25" s="1">
        <f>SUM(D20:D24)</f>
        <v>-3.8499999999999996</v>
      </c>
      <c r="E25" s="1">
        <f>SUM(E20:E24)</f>
        <v>-2.35</v>
      </c>
      <c r="F25" s="1">
        <f>SUM(F20:F24)</f>
        <v>-3.1999999999999997</v>
      </c>
      <c r="G25" s="1">
        <f t="shared" ref="G25:O25" si="14">SUM(G20:G24)</f>
        <v>-3.27</v>
      </c>
      <c r="H25" s="1">
        <f t="shared" si="14"/>
        <v>-2.65</v>
      </c>
      <c r="I25" s="1">
        <f t="shared" si="14"/>
        <v>-2.65</v>
      </c>
      <c r="J25" s="1">
        <f t="shared" si="14"/>
        <v>-2.65</v>
      </c>
      <c r="K25" s="1">
        <f t="shared" si="14"/>
        <v>-2.65</v>
      </c>
      <c r="L25" s="1">
        <f t="shared" si="14"/>
        <v>-2.65</v>
      </c>
      <c r="M25" s="1">
        <f t="shared" si="14"/>
        <v>-2.65</v>
      </c>
      <c r="N25" s="1">
        <f t="shared" si="14"/>
        <v>-2.65</v>
      </c>
      <c r="O25" s="1">
        <f t="shared" si="14"/>
        <v>-2.65</v>
      </c>
      <c r="P25" s="1">
        <f t="shared" ref="P25" si="15">SUM(P20:P24)</f>
        <v>-2.65</v>
      </c>
      <c r="Q25" s="1">
        <f t="shared" ref="Q25" si="16">SUM(Q20:Q24)</f>
        <v>-2.65</v>
      </c>
      <c r="R25" s="1">
        <f t="shared" ref="R25" si="17">SUM(R20:R24)</f>
        <v>-2.65</v>
      </c>
      <c r="S25" s="1">
        <f t="shared" ref="S25" si="18">SUM(S20:S24)</f>
        <v>-2.65</v>
      </c>
    </row>
    <row r="26" spans="1:19" x14ac:dyDescent="0.35">
      <c r="A26" s="1" t="s">
        <v>17</v>
      </c>
      <c r="B26" s="1">
        <f>B19+B25</f>
        <v>68.990000000000009</v>
      </c>
      <c r="C26" s="1">
        <f>C19+C25</f>
        <v>35.879999999999995</v>
      </c>
      <c r="D26" s="1">
        <f>D19+D25</f>
        <v>30.769999999999982</v>
      </c>
      <c r="E26" s="1">
        <f>E19+E25</f>
        <v>72.649999999999991</v>
      </c>
      <c r="F26" s="4">
        <f>F19+F25</f>
        <v>87.69</v>
      </c>
      <c r="G26" s="4">
        <f t="shared" ref="G26:O26" si="19">G19+G25</f>
        <v>65.23</v>
      </c>
      <c r="H26" s="4">
        <f t="shared" si="19"/>
        <v>84.993082079999965</v>
      </c>
      <c r="I26" s="4">
        <f t="shared" si="19"/>
        <v>79.492541253199988</v>
      </c>
      <c r="J26" s="4">
        <f t="shared" si="19"/>
        <v>82.398907911101986</v>
      </c>
      <c r="K26" s="4">
        <f t="shared" si="19"/>
        <v>85.297124543551689</v>
      </c>
      <c r="L26" s="4">
        <f t="shared" si="19"/>
        <v>24.29290721830597</v>
      </c>
      <c r="M26" s="4">
        <f t="shared" si="19"/>
        <v>22.037086595197728</v>
      </c>
      <c r="N26" s="4">
        <f t="shared" si="19"/>
        <v>24.412204602465202</v>
      </c>
      <c r="O26" s="4">
        <f t="shared" si="19"/>
        <v>24.195203825477499</v>
      </c>
      <c r="P26" s="4">
        <f t="shared" ref="P26" si="20">P19+P25</f>
        <v>23.758001432761695</v>
      </c>
      <c r="Q26" s="4">
        <f t="shared" ref="Q26" si="21">Q19+Q25</f>
        <v>23.533672439925496</v>
      </c>
      <c r="R26" s="4">
        <f t="shared" ref="R26" si="22">R19+R25</f>
        <v>23.308221802125125</v>
      </c>
      <c r="S26" s="4">
        <f t="shared" ref="S26" si="23">S19+S25</f>
        <v>23.081643911135785</v>
      </c>
    </row>
    <row r="27" spans="1:19" x14ac:dyDescent="0.35">
      <c r="A27" t="s">
        <v>18</v>
      </c>
      <c r="B27">
        <v>0</v>
      </c>
      <c r="C27">
        <v>0</v>
      </c>
      <c r="D27">
        <v>-0.02</v>
      </c>
      <c r="E27">
        <v>-0.2</v>
      </c>
      <c r="F27">
        <v>-0.2</v>
      </c>
      <c r="G27">
        <v>-0.2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</row>
    <row r="28" spans="1:19" x14ac:dyDescent="0.35">
      <c r="A28" t="s">
        <v>19</v>
      </c>
      <c r="B28">
        <v>0</v>
      </c>
      <c r="C28">
        <v>0</v>
      </c>
      <c r="D28">
        <v>0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  <c r="S28">
        <v>0</v>
      </c>
    </row>
    <row r="29" spans="1:19" x14ac:dyDescent="0.35">
      <c r="A29" s="1" t="s">
        <v>20</v>
      </c>
      <c r="B29" s="1">
        <f>SUM(B26:B28)</f>
        <v>68.990000000000009</v>
      </c>
      <c r="C29" s="1">
        <f t="shared" ref="C29:S29" si="24">SUM(C26:C28)</f>
        <v>35.879999999999995</v>
      </c>
      <c r="D29" s="1">
        <f t="shared" si="24"/>
        <v>30.749999999999982</v>
      </c>
      <c r="E29" s="1">
        <f t="shared" si="24"/>
        <v>72.449999999999989</v>
      </c>
      <c r="F29" s="4">
        <f t="shared" si="24"/>
        <v>87.49</v>
      </c>
      <c r="G29" s="4">
        <f t="shared" si="24"/>
        <v>65.03</v>
      </c>
      <c r="H29" s="4">
        <f t="shared" si="24"/>
        <v>84.993082079999965</v>
      </c>
      <c r="I29" s="4">
        <f t="shared" si="24"/>
        <v>79.492541253199988</v>
      </c>
      <c r="J29" s="4">
        <f t="shared" si="24"/>
        <v>82.398907911101986</v>
      </c>
      <c r="K29" s="4">
        <f t="shared" si="24"/>
        <v>85.297124543551689</v>
      </c>
      <c r="L29" s="4">
        <f t="shared" si="24"/>
        <v>24.29290721830597</v>
      </c>
      <c r="M29" s="4">
        <f t="shared" si="24"/>
        <v>22.037086595197728</v>
      </c>
      <c r="N29" s="4">
        <f t="shared" si="24"/>
        <v>24.412204602465202</v>
      </c>
      <c r="O29" s="4">
        <f t="shared" si="24"/>
        <v>24.195203825477499</v>
      </c>
      <c r="P29" s="4">
        <f t="shared" si="24"/>
        <v>23.758001432761695</v>
      </c>
      <c r="Q29" s="4">
        <f t="shared" si="24"/>
        <v>23.533672439925496</v>
      </c>
      <c r="R29" s="4">
        <f t="shared" si="24"/>
        <v>23.308221802125125</v>
      </c>
      <c r="S29" s="4">
        <f t="shared" si="24"/>
        <v>23.081643911135785</v>
      </c>
    </row>
    <row r="30" spans="1:19" x14ac:dyDescent="0.35">
      <c r="A30" t="s">
        <v>21</v>
      </c>
      <c r="B30">
        <v>67.81</v>
      </c>
      <c r="C30">
        <v>35.880000000000003</v>
      </c>
      <c r="D30">
        <v>30.63</v>
      </c>
      <c r="E30">
        <v>72.12</v>
      </c>
      <c r="F30">
        <v>87.6</v>
      </c>
      <c r="G30">
        <v>64.53</v>
      </c>
    </row>
    <row r="31" spans="1:19" x14ac:dyDescent="0.35">
      <c r="A31" t="s">
        <v>22</v>
      </c>
      <c r="B31">
        <v>1.1000000000000001</v>
      </c>
      <c r="C31">
        <v>0.02</v>
      </c>
      <c r="D31">
        <v>0.11</v>
      </c>
      <c r="E31">
        <v>0.33</v>
      </c>
      <c r="F31">
        <v>0.18</v>
      </c>
      <c r="G31">
        <v>0.47</v>
      </c>
    </row>
    <row r="33" spans="1:7" x14ac:dyDescent="0.35">
      <c r="A33" s="1" t="s">
        <v>24</v>
      </c>
    </row>
    <row r="35" spans="1:7" x14ac:dyDescent="0.35">
      <c r="A35" t="s">
        <v>25</v>
      </c>
      <c r="B35">
        <v>23.52</v>
      </c>
      <c r="C35">
        <v>22.29</v>
      </c>
      <c r="D35">
        <v>21.06</v>
      </c>
      <c r="E35">
        <v>19.84</v>
      </c>
      <c r="F35">
        <v>18.600000000000001</v>
      </c>
      <c r="G35">
        <v>17.38</v>
      </c>
    </row>
    <row r="36" spans="1:7" x14ac:dyDescent="0.35">
      <c r="A36" s="1" t="s">
        <v>26</v>
      </c>
      <c r="B36" s="1">
        <f>SUM(B35)</f>
        <v>23.52</v>
      </c>
      <c r="C36" s="1">
        <f t="shared" ref="C36:F36" si="25">SUM(C35)</f>
        <v>22.29</v>
      </c>
      <c r="D36" s="1">
        <f t="shared" si="25"/>
        <v>21.06</v>
      </c>
      <c r="E36" s="1">
        <f t="shared" si="25"/>
        <v>19.84</v>
      </c>
      <c r="F36" s="1">
        <f t="shared" si="25"/>
        <v>18.600000000000001</v>
      </c>
      <c r="G36" s="1">
        <v>17.38</v>
      </c>
    </row>
    <row r="37" spans="1:7" x14ac:dyDescent="0.35">
      <c r="A37" t="s">
        <v>100</v>
      </c>
      <c r="B37">
        <v>0</v>
      </c>
      <c r="C37">
        <v>0</v>
      </c>
      <c r="D37">
        <v>0</v>
      </c>
      <c r="E37">
        <v>0.1</v>
      </c>
      <c r="F37">
        <v>0.75</v>
      </c>
      <c r="G37">
        <v>0.68</v>
      </c>
    </row>
    <row r="38" spans="1:7" x14ac:dyDescent="0.35">
      <c r="A38" t="s">
        <v>27</v>
      </c>
      <c r="B38">
        <v>1018.59</v>
      </c>
      <c r="C38">
        <v>1261.29</v>
      </c>
      <c r="D38">
        <v>1248.2</v>
      </c>
      <c r="E38">
        <v>1234.96</v>
      </c>
      <c r="F38">
        <v>1221.6099999999999</v>
      </c>
      <c r="G38">
        <v>1282.42</v>
      </c>
    </row>
    <row r="39" spans="1:7" x14ac:dyDescent="0.35">
      <c r="A39" t="s">
        <v>28</v>
      </c>
      <c r="B39">
        <v>28.77</v>
      </c>
      <c r="C39">
        <v>65.239999999999995</v>
      </c>
      <c r="D39">
        <v>103.03</v>
      </c>
      <c r="E39">
        <v>136.13999999999999</v>
      </c>
      <c r="F39">
        <v>167.23</v>
      </c>
      <c r="G39">
        <v>153.84</v>
      </c>
    </row>
    <row r="40" spans="1:7" x14ac:dyDescent="0.35">
      <c r="A40" t="s">
        <v>29</v>
      </c>
      <c r="B40">
        <v>19.86</v>
      </c>
      <c r="C40">
        <v>28.44</v>
      </c>
      <c r="D40">
        <v>27.59</v>
      </c>
      <c r="E40">
        <v>25.89</v>
      </c>
      <c r="F40">
        <v>24.75</v>
      </c>
      <c r="G40">
        <v>36.17</v>
      </c>
    </row>
    <row r="41" spans="1:7" x14ac:dyDescent="0.35">
      <c r="A41" t="s">
        <v>98</v>
      </c>
      <c r="B41">
        <v>0</v>
      </c>
      <c r="C41">
        <v>0</v>
      </c>
      <c r="D41">
        <v>0.62</v>
      </c>
      <c r="E41">
        <v>0.55000000000000004</v>
      </c>
      <c r="F41">
        <v>0.53</v>
      </c>
      <c r="G41">
        <v>0.5</v>
      </c>
    </row>
    <row r="42" spans="1:7" x14ac:dyDescent="0.35">
      <c r="A42" s="1" t="s">
        <v>30</v>
      </c>
      <c r="B42" s="1">
        <f>SUM(B37:B41)</f>
        <v>1067.22</v>
      </c>
      <c r="C42" s="1">
        <f t="shared" ref="C42:F42" si="26">SUM(C37:C41)</f>
        <v>1354.97</v>
      </c>
      <c r="D42" s="1">
        <f t="shared" si="26"/>
        <v>1379.4399999999998</v>
      </c>
      <c r="E42" s="1">
        <f t="shared" si="26"/>
        <v>1397.6399999999999</v>
      </c>
      <c r="F42" s="1">
        <f t="shared" si="26"/>
        <v>1414.87</v>
      </c>
      <c r="G42" s="1">
        <v>1472.93</v>
      </c>
    </row>
    <row r="43" spans="1:7" x14ac:dyDescent="0.35">
      <c r="A43" s="1" t="s">
        <v>31</v>
      </c>
      <c r="B43" s="1">
        <f>B36+B42</f>
        <v>1090.74</v>
      </c>
      <c r="C43" s="1">
        <f>C36+C42</f>
        <v>1377.26</v>
      </c>
      <c r="D43" s="1">
        <f>D36+D42</f>
        <v>1400.4999999999998</v>
      </c>
      <c r="E43" s="1">
        <f>E36+E42</f>
        <v>1417.4799999999998</v>
      </c>
      <c r="F43" s="1">
        <f>F36+F42</f>
        <v>1433.4699999999998</v>
      </c>
      <c r="G43" s="1">
        <v>1490.99</v>
      </c>
    </row>
    <row r="44" spans="1:7" x14ac:dyDescent="0.35">
      <c r="A44" t="s">
        <v>32</v>
      </c>
      <c r="B44">
        <v>14.71</v>
      </c>
      <c r="C44">
        <v>20.72</v>
      </c>
      <c r="D44">
        <v>23.95</v>
      </c>
      <c r="E44">
        <v>23.46</v>
      </c>
      <c r="F44">
        <v>21.67</v>
      </c>
      <c r="G44">
        <v>15.62</v>
      </c>
    </row>
    <row r="45" spans="1:7" x14ac:dyDescent="0.35">
      <c r="A45" t="s">
        <v>33</v>
      </c>
      <c r="B45">
        <v>120.93</v>
      </c>
      <c r="C45">
        <v>122.03</v>
      </c>
      <c r="D45">
        <v>103.41</v>
      </c>
      <c r="E45">
        <v>133.1</v>
      </c>
      <c r="F45">
        <v>122.36</v>
      </c>
      <c r="G45">
        <v>87.17</v>
      </c>
    </row>
    <row r="46" spans="1:7" x14ac:dyDescent="0.35">
      <c r="A46" t="s">
        <v>87</v>
      </c>
      <c r="B46">
        <v>0</v>
      </c>
      <c r="C46">
        <v>0.18</v>
      </c>
      <c r="D46">
        <v>0</v>
      </c>
      <c r="E46">
        <v>0</v>
      </c>
      <c r="F46">
        <v>0</v>
      </c>
      <c r="G46">
        <v>0</v>
      </c>
    </row>
    <row r="47" spans="1:7" x14ac:dyDescent="0.35">
      <c r="A47" t="s">
        <v>34</v>
      </c>
      <c r="B47">
        <v>11.11</v>
      </c>
      <c r="C47">
        <v>110.91</v>
      </c>
      <c r="D47">
        <v>71.3</v>
      </c>
      <c r="E47">
        <v>58.15</v>
      </c>
      <c r="F47">
        <v>60.52</v>
      </c>
      <c r="G47">
        <v>70.239999999999995</v>
      </c>
    </row>
    <row r="48" spans="1:7" x14ac:dyDescent="0.35">
      <c r="A48" s="1" t="s">
        <v>35</v>
      </c>
      <c r="B48" s="1">
        <f>SUM(B44:B47)</f>
        <v>146.75</v>
      </c>
      <c r="C48" s="1">
        <f>SUM(C44:C47)</f>
        <v>253.84</v>
      </c>
      <c r="D48" s="1">
        <f>SUM(D44:D47)</f>
        <v>198.66</v>
      </c>
      <c r="E48" s="1">
        <f>SUM(E44:E47)</f>
        <v>214.71</v>
      </c>
      <c r="F48" s="1">
        <f>SUM(F44:F47)</f>
        <v>204.55</v>
      </c>
      <c r="G48" s="1">
        <v>173.07</v>
      </c>
    </row>
    <row r="49" spans="1:7" x14ac:dyDescent="0.35">
      <c r="A49" t="s">
        <v>36</v>
      </c>
      <c r="B49">
        <v>3.78</v>
      </c>
      <c r="C49">
        <v>0</v>
      </c>
      <c r="D49">
        <v>0</v>
      </c>
      <c r="E49">
        <v>0</v>
      </c>
      <c r="F49">
        <v>0</v>
      </c>
      <c r="G49">
        <v>0</v>
      </c>
    </row>
    <row r="50" spans="1:7" x14ac:dyDescent="0.35">
      <c r="A50" s="1" t="s">
        <v>37</v>
      </c>
      <c r="B50" s="1">
        <f>B43+B48+B49</f>
        <v>1241.27</v>
      </c>
      <c r="C50" s="1">
        <f>C43+C48+C49</f>
        <v>1631.1</v>
      </c>
      <c r="D50" s="1">
        <f>D43+D48+D49</f>
        <v>1599.1599999999999</v>
      </c>
      <c r="E50" s="1">
        <f>E43+E48+E49</f>
        <v>1632.1899999999998</v>
      </c>
      <c r="F50" s="1">
        <f>F43+F48+F49</f>
        <v>1638.0199999999998</v>
      </c>
      <c r="G50" s="1">
        <v>1664.06</v>
      </c>
    </row>
    <row r="52" spans="1:7" x14ac:dyDescent="0.35">
      <c r="A52" t="s">
        <v>38</v>
      </c>
      <c r="B52">
        <v>0.01</v>
      </c>
      <c r="C52">
        <v>1.36</v>
      </c>
      <c r="D52">
        <v>1.36</v>
      </c>
      <c r="E52">
        <v>1.36</v>
      </c>
      <c r="F52">
        <v>1.36</v>
      </c>
      <c r="G52">
        <v>1.36</v>
      </c>
    </row>
    <row r="53" spans="1:7" x14ac:dyDescent="0.35">
      <c r="A53" t="s">
        <v>88</v>
      </c>
      <c r="B53">
        <v>67.69</v>
      </c>
      <c r="C53">
        <v>268.99</v>
      </c>
      <c r="D53">
        <v>268.99</v>
      </c>
      <c r="E53">
        <v>268.99</v>
      </c>
      <c r="F53">
        <v>268.99</v>
      </c>
      <c r="G53">
        <v>269.10000000000002</v>
      </c>
    </row>
    <row r="54" spans="1:7" x14ac:dyDescent="0.35">
      <c r="A54" t="s">
        <v>230</v>
      </c>
      <c r="B54">
        <v>0</v>
      </c>
      <c r="C54">
        <v>0</v>
      </c>
      <c r="D54">
        <v>0</v>
      </c>
      <c r="E54">
        <v>0</v>
      </c>
      <c r="F54">
        <v>0</v>
      </c>
      <c r="G54">
        <v>-22.44</v>
      </c>
    </row>
    <row r="55" spans="1:7" x14ac:dyDescent="0.35">
      <c r="A55" t="s">
        <v>89</v>
      </c>
      <c r="B55">
        <v>0</v>
      </c>
      <c r="C55">
        <v>685.91</v>
      </c>
      <c r="D55">
        <v>685.91</v>
      </c>
      <c r="E55">
        <v>685.91</v>
      </c>
      <c r="F55">
        <v>685.91</v>
      </c>
      <c r="G55">
        <v>685.91</v>
      </c>
    </row>
    <row r="56" spans="1:7" x14ac:dyDescent="0.35">
      <c r="A56" t="s">
        <v>90</v>
      </c>
      <c r="B56">
        <v>0</v>
      </c>
      <c r="C56">
        <v>-41.47</v>
      </c>
      <c r="D56">
        <v>-41.15</v>
      </c>
      <c r="E56">
        <v>-41.15</v>
      </c>
      <c r="F56">
        <v>-41.15</v>
      </c>
      <c r="G56">
        <v>-43.86</v>
      </c>
    </row>
    <row r="57" spans="1:7" x14ac:dyDescent="0.35">
      <c r="A57" t="s">
        <v>39</v>
      </c>
      <c r="B57">
        <v>14.32</v>
      </c>
      <c r="C57">
        <v>50.2</v>
      </c>
      <c r="D57">
        <v>80.84</v>
      </c>
      <c r="E57">
        <v>132.51</v>
      </c>
      <c r="F57">
        <v>116.23</v>
      </c>
      <c r="G57">
        <v>180.74</v>
      </c>
    </row>
    <row r="58" spans="1:7" x14ac:dyDescent="0.35">
      <c r="A58" t="s">
        <v>40</v>
      </c>
      <c r="B58">
        <v>9.6999999999999993</v>
      </c>
      <c r="C58">
        <v>9.73</v>
      </c>
      <c r="D58">
        <v>9.85</v>
      </c>
      <c r="E58">
        <v>10.18</v>
      </c>
      <c r="F58">
        <v>10.02</v>
      </c>
      <c r="G58">
        <v>9.5500000000000007</v>
      </c>
    </row>
    <row r="59" spans="1:7" x14ac:dyDescent="0.35">
      <c r="A59" s="1" t="s">
        <v>41</v>
      </c>
      <c r="B59" s="1">
        <f>SUM(B52:B58)</f>
        <v>91.720000000000013</v>
      </c>
      <c r="C59" s="1">
        <f>SUM(C52:C58)</f>
        <v>974.72</v>
      </c>
      <c r="D59" s="1">
        <f>SUM(D52:D58)</f>
        <v>1005.8000000000001</v>
      </c>
      <c r="E59" s="1">
        <f>SUM(E52:E58)</f>
        <v>1057.8</v>
      </c>
      <c r="F59" s="1">
        <f>SUM(F52:F58)</f>
        <v>1041.3599999999999</v>
      </c>
      <c r="G59" s="1">
        <v>1080.95</v>
      </c>
    </row>
    <row r="60" spans="1:7" x14ac:dyDescent="0.35">
      <c r="A60" t="s">
        <v>43</v>
      </c>
      <c r="B60">
        <v>57.22</v>
      </c>
      <c r="C60">
        <v>503.36</v>
      </c>
      <c r="D60">
        <v>440.33</v>
      </c>
      <c r="E60">
        <v>477.28</v>
      </c>
      <c r="F60">
        <v>487.09</v>
      </c>
      <c r="G60">
        <v>469.85</v>
      </c>
    </row>
    <row r="61" spans="1:7" x14ac:dyDescent="0.35">
      <c r="A61" t="s">
        <v>92</v>
      </c>
      <c r="B61">
        <v>1.36</v>
      </c>
      <c r="C61">
        <v>1.24</v>
      </c>
      <c r="D61">
        <v>1.1200000000000001</v>
      </c>
      <c r="E61">
        <v>0.99</v>
      </c>
      <c r="F61">
        <v>0.87</v>
      </c>
      <c r="G61">
        <v>0.74</v>
      </c>
    </row>
    <row r="62" spans="1:7" x14ac:dyDescent="0.35">
      <c r="A62" s="1" t="s">
        <v>42</v>
      </c>
      <c r="B62" s="1">
        <f>SUM(B60:B61)</f>
        <v>58.58</v>
      </c>
      <c r="C62" s="1">
        <f t="shared" ref="C62:F62" si="27">SUM(C60:C61)</f>
        <v>504.6</v>
      </c>
      <c r="D62" s="1">
        <f t="shared" si="27"/>
        <v>441.45</v>
      </c>
      <c r="E62" s="1">
        <f t="shared" si="27"/>
        <v>478.27</v>
      </c>
      <c r="F62" s="1">
        <f t="shared" si="27"/>
        <v>487.96</v>
      </c>
      <c r="G62" s="1">
        <v>471.39</v>
      </c>
    </row>
    <row r="63" spans="1:7" x14ac:dyDescent="0.35">
      <c r="A63" t="s">
        <v>44</v>
      </c>
      <c r="B63">
        <v>138.68</v>
      </c>
      <c r="C63">
        <v>105.23</v>
      </c>
      <c r="D63">
        <v>102.58</v>
      </c>
      <c r="E63">
        <v>53.31</v>
      </c>
      <c r="F63">
        <v>60.35</v>
      </c>
      <c r="G63">
        <v>59.57</v>
      </c>
    </row>
    <row r="64" spans="1:7" x14ac:dyDescent="0.35">
      <c r="A64" t="s">
        <v>91</v>
      </c>
      <c r="B64">
        <v>0</v>
      </c>
      <c r="C64">
        <v>0.5</v>
      </c>
      <c r="D64">
        <v>0.5</v>
      </c>
      <c r="E64">
        <v>0.5</v>
      </c>
      <c r="F64">
        <v>0.5</v>
      </c>
      <c r="G64">
        <v>0.5</v>
      </c>
    </row>
    <row r="65" spans="1:7" x14ac:dyDescent="0.35">
      <c r="A65" t="s">
        <v>99</v>
      </c>
      <c r="B65">
        <v>0</v>
      </c>
      <c r="C65">
        <v>0</v>
      </c>
      <c r="D65">
        <v>0.18</v>
      </c>
      <c r="E65">
        <v>0.42</v>
      </c>
      <c r="F65">
        <v>1.23</v>
      </c>
      <c r="G65">
        <v>1.7</v>
      </c>
    </row>
    <row r="66" spans="1:7" x14ac:dyDescent="0.35">
      <c r="A66" t="s">
        <v>45</v>
      </c>
      <c r="B66">
        <v>0</v>
      </c>
      <c r="C66">
        <v>0</v>
      </c>
      <c r="D66">
        <v>0.02</v>
      </c>
      <c r="E66">
        <v>0.2</v>
      </c>
      <c r="F66">
        <v>0.4</v>
      </c>
      <c r="G66">
        <v>0.67</v>
      </c>
    </row>
    <row r="67" spans="1:7" x14ac:dyDescent="0.35">
      <c r="A67" t="s">
        <v>46</v>
      </c>
      <c r="B67">
        <v>952.29</v>
      </c>
      <c r="C67">
        <v>46.36</v>
      </c>
      <c r="D67">
        <v>48.97</v>
      </c>
      <c r="E67">
        <v>42.4</v>
      </c>
      <c r="F67">
        <v>46.54</v>
      </c>
      <c r="G67">
        <v>49.25</v>
      </c>
    </row>
    <row r="68" spans="1:7" x14ac:dyDescent="0.35">
      <c r="A68" s="1" t="s">
        <v>47</v>
      </c>
      <c r="B68" s="1">
        <f>SUM(B63:B67)</f>
        <v>1090.97</v>
      </c>
      <c r="C68" s="1">
        <f>SUM(C63:C67)</f>
        <v>152.09</v>
      </c>
      <c r="D68" s="1">
        <f>SUM(D63:D67)</f>
        <v>152.25</v>
      </c>
      <c r="E68" s="1">
        <f>SUM(E63:E67)</f>
        <v>96.830000000000013</v>
      </c>
      <c r="F68" s="1">
        <f>SUM(F63:F67)</f>
        <v>109.02</v>
      </c>
      <c r="G68" s="1">
        <v>111.71</v>
      </c>
    </row>
    <row r="69" spans="1:7" x14ac:dyDescent="0.35">
      <c r="A69" s="1" t="s">
        <v>48</v>
      </c>
      <c r="B69" s="1">
        <f>B62+B68</f>
        <v>1149.55</v>
      </c>
      <c r="C69" s="1">
        <f>C62+C68</f>
        <v>656.69</v>
      </c>
      <c r="D69" s="1">
        <f>D62+D68</f>
        <v>593.70000000000005</v>
      </c>
      <c r="E69" s="1">
        <f>E62+E68</f>
        <v>575.1</v>
      </c>
      <c r="F69" s="1">
        <f>F62+F68</f>
        <v>596.98</v>
      </c>
      <c r="G69" s="1">
        <v>583.11</v>
      </c>
    </row>
    <row r="70" spans="1:7" x14ac:dyDescent="0.35">
      <c r="A70" s="1" t="s">
        <v>49</v>
      </c>
      <c r="B70" s="1">
        <f>B59+B69</f>
        <v>1241.27</v>
      </c>
      <c r="C70" s="1">
        <f>C59+C69</f>
        <v>1631.41</v>
      </c>
      <c r="D70" s="1">
        <f>D59+D69</f>
        <v>1599.5</v>
      </c>
      <c r="E70" s="1">
        <f>E59+E69</f>
        <v>1632.9</v>
      </c>
      <c r="F70" s="1">
        <f>F59+F69</f>
        <v>1638.34</v>
      </c>
      <c r="G70" s="1">
        <v>1664.06</v>
      </c>
    </row>
    <row r="72" spans="1:7" x14ac:dyDescent="0.35">
      <c r="A72" s="1" t="s">
        <v>50</v>
      </c>
    </row>
    <row r="74" spans="1:7" x14ac:dyDescent="0.35">
      <c r="A74" t="s">
        <v>51</v>
      </c>
      <c r="B74">
        <v>89.8</v>
      </c>
      <c r="C74">
        <v>35.9</v>
      </c>
      <c r="D74">
        <v>30.77</v>
      </c>
      <c r="E74">
        <v>72.650000000000006</v>
      </c>
      <c r="F74">
        <v>87.67</v>
      </c>
    </row>
    <row r="75" spans="1:7" x14ac:dyDescent="0.35">
      <c r="A75" t="s">
        <v>52</v>
      </c>
      <c r="B75">
        <v>5.0999999999999996</v>
      </c>
      <c r="C75">
        <v>1.23</v>
      </c>
      <c r="D75">
        <v>1.23</v>
      </c>
      <c r="E75">
        <v>1.23</v>
      </c>
      <c r="F75">
        <v>1.23</v>
      </c>
    </row>
    <row r="76" spans="1:7" x14ac:dyDescent="0.35">
      <c r="A76" t="s">
        <v>53</v>
      </c>
      <c r="B76">
        <v>-0.37</v>
      </c>
      <c r="C76">
        <v>-0.12</v>
      </c>
      <c r="D76">
        <v>-0.12</v>
      </c>
      <c r="E76">
        <v>-0.12</v>
      </c>
      <c r="F76">
        <v>-0.12</v>
      </c>
    </row>
    <row r="77" spans="1:7" x14ac:dyDescent="0.35">
      <c r="A77" t="s">
        <v>54</v>
      </c>
      <c r="B77">
        <v>37.61</v>
      </c>
      <c r="C77">
        <v>15.5</v>
      </c>
      <c r="D77">
        <v>15.67</v>
      </c>
      <c r="E77">
        <v>15.63</v>
      </c>
      <c r="F77">
        <v>16.66</v>
      </c>
    </row>
    <row r="78" spans="1:7" x14ac:dyDescent="0.35">
      <c r="A78" t="s">
        <v>55</v>
      </c>
      <c r="B78">
        <v>-47.35</v>
      </c>
      <c r="C78">
        <v>-9</v>
      </c>
      <c r="D78">
        <v>0</v>
      </c>
      <c r="E78">
        <v>0</v>
      </c>
      <c r="F78">
        <v>0</v>
      </c>
    </row>
    <row r="79" spans="1:7" x14ac:dyDescent="0.35">
      <c r="A79" t="s">
        <v>58</v>
      </c>
      <c r="B79">
        <v>0</v>
      </c>
      <c r="C79">
        <v>0</v>
      </c>
      <c r="D79">
        <v>0</v>
      </c>
      <c r="E79">
        <v>0</v>
      </c>
      <c r="F79">
        <v>0</v>
      </c>
    </row>
    <row r="80" spans="1:7" x14ac:dyDescent="0.35">
      <c r="A80" t="s">
        <v>86</v>
      </c>
      <c r="B80">
        <v>0</v>
      </c>
      <c r="C80">
        <v>-0.18</v>
      </c>
      <c r="D80">
        <v>0.33</v>
      </c>
      <c r="E80">
        <v>-0.28999999999999998</v>
      </c>
      <c r="F80">
        <v>0.53</v>
      </c>
    </row>
    <row r="81" spans="1:6" x14ac:dyDescent="0.35">
      <c r="A81" t="s">
        <v>13</v>
      </c>
      <c r="B81">
        <v>0</v>
      </c>
      <c r="C81">
        <v>-0.05</v>
      </c>
      <c r="D81">
        <v>-0.04</v>
      </c>
      <c r="E81">
        <v>-0.03</v>
      </c>
      <c r="F81">
        <v>-0.03</v>
      </c>
    </row>
    <row r="82" spans="1:6" x14ac:dyDescent="0.35">
      <c r="A82" t="s">
        <v>14</v>
      </c>
      <c r="B82">
        <v>3.28</v>
      </c>
      <c r="C82">
        <v>2.2000000000000002</v>
      </c>
      <c r="D82">
        <v>2.86</v>
      </c>
      <c r="E82">
        <v>2.65</v>
      </c>
      <c r="F82">
        <v>2.42</v>
      </c>
    </row>
    <row r="83" spans="1:6" x14ac:dyDescent="0.35">
      <c r="A83" t="s">
        <v>15</v>
      </c>
      <c r="B83">
        <v>0</v>
      </c>
      <c r="C83">
        <v>0.15</v>
      </c>
      <c r="D83">
        <v>0.03</v>
      </c>
      <c r="E83">
        <v>0</v>
      </c>
      <c r="F83">
        <v>0</v>
      </c>
    </row>
    <row r="84" spans="1:6" x14ac:dyDescent="0.35">
      <c r="A84" t="s">
        <v>101</v>
      </c>
      <c r="B84">
        <v>0</v>
      </c>
      <c r="C84">
        <v>0</v>
      </c>
      <c r="D84">
        <v>0</v>
      </c>
      <c r="E84">
        <v>0.03</v>
      </c>
      <c r="F84">
        <v>0.03</v>
      </c>
    </row>
    <row r="85" spans="1:6" x14ac:dyDescent="0.35">
      <c r="A85" t="s">
        <v>56</v>
      </c>
      <c r="B85">
        <v>0.88</v>
      </c>
      <c r="C85">
        <v>0</v>
      </c>
      <c r="D85">
        <v>0</v>
      </c>
      <c r="E85">
        <v>0</v>
      </c>
      <c r="F85">
        <v>0</v>
      </c>
    </row>
    <row r="86" spans="1:6" x14ac:dyDescent="0.35">
      <c r="A86" t="s">
        <v>57</v>
      </c>
      <c r="B86">
        <v>1.02</v>
      </c>
      <c r="C86">
        <v>0</v>
      </c>
      <c r="D86">
        <v>0</v>
      </c>
      <c r="E86">
        <v>0</v>
      </c>
      <c r="F86">
        <v>0</v>
      </c>
    </row>
    <row r="87" spans="1:6" x14ac:dyDescent="0.35">
      <c r="A87" s="1" t="s">
        <v>59</v>
      </c>
      <c r="B87" s="1">
        <f>SUM(B74:B86)</f>
        <v>89.969999999999985</v>
      </c>
      <c r="C87" s="1">
        <f>SUM(C74:C86)</f>
        <v>45.63</v>
      </c>
      <c r="D87" s="1">
        <f>SUM(D74:D86)</f>
        <v>50.73</v>
      </c>
      <c r="E87" s="1">
        <f>SUM(E74:E86)</f>
        <v>91.75</v>
      </c>
      <c r="F87" s="1">
        <f>SUM(F74:F86)</f>
        <v>108.39</v>
      </c>
    </row>
    <row r="88" spans="1:6" x14ac:dyDescent="0.35">
      <c r="A88" t="s">
        <v>32</v>
      </c>
      <c r="B88">
        <v>3.98</v>
      </c>
      <c r="C88">
        <v>-6</v>
      </c>
      <c r="D88">
        <v>-3.23</v>
      </c>
      <c r="E88">
        <v>0.49</v>
      </c>
      <c r="F88">
        <v>1.8</v>
      </c>
    </row>
    <row r="89" spans="1:6" x14ac:dyDescent="0.35">
      <c r="A89" t="s">
        <v>33</v>
      </c>
      <c r="B89">
        <v>-36.93</v>
      </c>
      <c r="C89">
        <v>-27.87</v>
      </c>
      <c r="D89">
        <v>18.61</v>
      </c>
      <c r="E89">
        <v>-29.69</v>
      </c>
      <c r="F89">
        <v>10.74</v>
      </c>
    </row>
    <row r="90" spans="1:6" x14ac:dyDescent="0.35">
      <c r="A90" t="s">
        <v>46</v>
      </c>
      <c r="B90">
        <v>-32.29</v>
      </c>
      <c r="C90">
        <v>85.73</v>
      </c>
      <c r="D90">
        <v>2.88</v>
      </c>
      <c r="E90">
        <v>-6.25</v>
      </c>
      <c r="F90">
        <v>4.46</v>
      </c>
    </row>
    <row r="91" spans="1:6" x14ac:dyDescent="0.35">
      <c r="A91" s="1" t="s">
        <v>60</v>
      </c>
      <c r="B91" s="1">
        <f>SUM(B87:B90)</f>
        <v>24.72999999999999</v>
      </c>
      <c r="C91" s="1">
        <f t="shared" ref="C91:F91" si="28">SUM(C87:C90)</f>
        <v>97.490000000000009</v>
      </c>
      <c r="D91" s="1">
        <f t="shared" si="28"/>
        <v>68.989999999999995</v>
      </c>
      <c r="E91" s="1">
        <f t="shared" si="28"/>
        <v>56.3</v>
      </c>
      <c r="F91" s="1">
        <f t="shared" si="28"/>
        <v>125.38999999999999</v>
      </c>
    </row>
    <row r="92" spans="1:6" x14ac:dyDescent="0.35">
      <c r="A92" t="s">
        <v>61</v>
      </c>
      <c r="B92">
        <v>-0.1</v>
      </c>
      <c r="C92">
        <v>0</v>
      </c>
      <c r="D92">
        <v>0</v>
      </c>
      <c r="E92">
        <v>-0.02</v>
      </c>
      <c r="F92">
        <v>0</v>
      </c>
    </row>
    <row r="93" spans="1:6" x14ac:dyDescent="0.35">
      <c r="A93" s="1" t="s">
        <v>62</v>
      </c>
      <c r="B93" s="1">
        <f>SUM(B91:B92)</f>
        <v>24.629999999999988</v>
      </c>
      <c r="C93" s="1">
        <f t="shared" ref="C93:E93" si="29">SUM(C91:C92)</f>
        <v>97.490000000000009</v>
      </c>
      <c r="D93" s="1">
        <f t="shared" si="29"/>
        <v>68.989999999999995</v>
      </c>
      <c r="E93" s="1">
        <f t="shared" si="29"/>
        <v>56.279999999999994</v>
      </c>
      <c r="F93" s="1">
        <f>SUM(F91:F92)</f>
        <v>125.38999999999999</v>
      </c>
    </row>
    <row r="95" spans="1:6" x14ac:dyDescent="0.35">
      <c r="A95" t="s">
        <v>64</v>
      </c>
      <c r="B95">
        <v>-135.58000000000001</v>
      </c>
      <c r="C95">
        <v>-294.11</v>
      </c>
      <c r="D95">
        <v>-39.36</v>
      </c>
      <c r="E95">
        <v>-33.049999999999997</v>
      </c>
      <c r="F95">
        <v>-32.5</v>
      </c>
    </row>
    <row r="96" spans="1:6" x14ac:dyDescent="0.35">
      <c r="A96" t="s">
        <v>65</v>
      </c>
      <c r="B96">
        <v>2.25</v>
      </c>
      <c r="C96">
        <v>3.78</v>
      </c>
      <c r="D96">
        <v>-0.48</v>
      </c>
      <c r="E96">
        <v>0</v>
      </c>
      <c r="F96">
        <v>0</v>
      </c>
    </row>
    <row r="97" spans="1:6" x14ac:dyDescent="0.35">
      <c r="A97" t="s">
        <v>75</v>
      </c>
      <c r="B97">
        <v>0</v>
      </c>
      <c r="C97">
        <v>0</v>
      </c>
      <c r="D97">
        <v>0</v>
      </c>
      <c r="E97">
        <v>-0.67</v>
      </c>
      <c r="F97">
        <v>-0.46</v>
      </c>
    </row>
    <row r="98" spans="1:6" x14ac:dyDescent="0.35">
      <c r="A98" t="s">
        <v>67</v>
      </c>
      <c r="B98">
        <v>0</v>
      </c>
      <c r="C98">
        <v>0.05</v>
      </c>
      <c r="D98">
        <v>0.04</v>
      </c>
      <c r="E98">
        <v>0.03</v>
      </c>
      <c r="F98">
        <v>0.03</v>
      </c>
    </row>
    <row r="99" spans="1:6" x14ac:dyDescent="0.35">
      <c r="A99" t="s">
        <v>66</v>
      </c>
      <c r="B99">
        <v>-0.77</v>
      </c>
      <c r="C99">
        <v>0</v>
      </c>
      <c r="D99">
        <v>0</v>
      </c>
      <c r="E99">
        <v>0</v>
      </c>
      <c r="F99">
        <v>0</v>
      </c>
    </row>
    <row r="100" spans="1:6" x14ac:dyDescent="0.35">
      <c r="A100" s="1" t="s">
        <v>69</v>
      </c>
      <c r="B100" s="1">
        <f>SUM(B95:B99)</f>
        <v>-134.10000000000002</v>
      </c>
      <c r="C100" s="1">
        <f>SUM(C95:C99)</f>
        <v>-290.28000000000003</v>
      </c>
      <c r="D100" s="1">
        <f>SUM(D95:D99)</f>
        <v>-39.799999999999997</v>
      </c>
      <c r="E100" s="1">
        <f>SUM(E95:E99)</f>
        <v>-33.69</v>
      </c>
      <c r="F100" s="1">
        <f>SUM(F95:F99)</f>
        <v>-32.93</v>
      </c>
    </row>
    <row r="102" spans="1:6" x14ac:dyDescent="0.35">
      <c r="A102" t="s">
        <v>70</v>
      </c>
      <c r="B102">
        <v>121.96</v>
      </c>
      <c r="C102">
        <v>271.61</v>
      </c>
      <c r="D102">
        <v>0</v>
      </c>
      <c r="E102">
        <v>0</v>
      </c>
      <c r="F102">
        <v>0</v>
      </c>
    </row>
    <row r="103" spans="1:6" x14ac:dyDescent="0.35">
      <c r="A103" t="s">
        <v>93</v>
      </c>
      <c r="B103">
        <v>0</v>
      </c>
      <c r="C103">
        <v>-816.37</v>
      </c>
      <c r="D103">
        <v>0</v>
      </c>
      <c r="E103">
        <v>0</v>
      </c>
      <c r="F103">
        <v>0</v>
      </c>
    </row>
    <row r="104" spans="1:6" x14ac:dyDescent="0.35">
      <c r="A104" t="s">
        <v>71</v>
      </c>
      <c r="B104">
        <v>0</v>
      </c>
      <c r="C104">
        <v>692.65</v>
      </c>
      <c r="D104">
        <v>0</v>
      </c>
      <c r="E104">
        <v>50</v>
      </c>
      <c r="F104">
        <v>80</v>
      </c>
    </row>
    <row r="105" spans="1:6" x14ac:dyDescent="0.35">
      <c r="A105" t="s">
        <v>72</v>
      </c>
      <c r="B105">
        <v>-12.91</v>
      </c>
      <c r="C105">
        <v>0</v>
      </c>
      <c r="D105">
        <v>0</v>
      </c>
      <c r="E105">
        <v>0</v>
      </c>
      <c r="F105">
        <v>0</v>
      </c>
    </row>
    <row r="106" spans="1:6" x14ac:dyDescent="0.35">
      <c r="A106" t="s">
        <v>94</v>
      </c>
      <c r="B106">
        <v>0</v>
      </c>
      <c r="C106">
        <v>26.77</v>
      </c>
      <c r="D106">
        <v>0</v>
      </c>
      <c r="E106">
        <v>0</v>
      </c>
      <c r="F106">
        <v>0</v>
      </c>
    </row>
    <row r="107" spans="1:6" x14ac:dyDescent="0.35">
      <c r="A107" t="s">
        <v>73</v>
      </c>
      <c r="B107">
        <v>-7.09</v>
      </c>
      <c r="C107">
        <v>-150</v>
      </c>
      <c r="D107">
        <v>-62.5</v>
      </c>
      <c r="E107">
        <v>-12.5</v>
      </c>
      <c r="F107">
        <v>-62.5</v>
      </c>
    </row>
    <row r="108" spans="1:6" x14ac:dyDescent="0.35">
      <c r="A108" t="s">
        <v>95</v>
      </c>
      <c r="B108">
        <v>0</v>
      </c>
      <c r="C108">
        <v>-0.73</v>
      </c>
      <c r="D108">
        <v>-3.34</v>
      </c>
      <c r="E108">
        <v>-50.31</v>
      </c>
      <c r="F108">
        <v>-0.77</v>
      </c>
    </row>
    <row r="109" spans="1:6" x14ac:dyDescent="0.35">
      <c r="A109" t="s">
        <v>74</v>
      </c>
      <c r="B109">
        <v>-2.15</v>
      </c>
      <c r="C109">
        <v>0</v>
      </c>
      <c r="D109">
        <v>0</v>
      </c>
      <c r="E109">
        <v>0</v>
      </c>
      <c r="F109">
        <v>0</v>
      </c>
    </row>
    <row r="110" spans="1:6" x14ac:dyDescent="0.35">
      <c r="A110" t="s">
        <v>75</v>
      </c>
      <c r="B110">
        <v>-1.08</v>
      </c>
      <c r="C110">
        <v>-0.53</v>
      </c>
      <c r="D110">
        <v>-2.97</v>
      </c>
      <c r="E110">
        <v>-2.4700000000000002</v>
      </c>
      <c r="F110">
        <v>-2.9</v>
      </c>
    </row>
    <row r="111" spans="1:6" x14ac:dyDescent="0.35">
      <c r="A111" t="s">
        <v>102</v>
      </c>
      <c r="B111">
        <v>0</v>
      </c>
      <c r="C111">
        <v>0</v>
      </c>
      <c r="D111">
        <v>0</v>
      </c>
      <c r="E111">
        <v>-20.440000000000001</v>
      </c>
      <c r="F111">
        <v>-103.57</v>
      </c>
    </row>
    <row r="112" spans="1:6" x14ac:dyDescent="0.35">
      <c r="A112" t="s">
        <v>76</v>
      </c>
      <c r="B112">
        <v>0</v>
      </c>
      <c r="C112">
        <v>0</v>
      </c>
      <c r="D112">
        <v>0</v>
      </c>
      <c r="E112">
        <v>0</v>
      </c>
      <c r="F112">
        <v>0</v>
      </c>
    </row>
    <row r="113" spans="1:6" x14ac:dyDescent="0.35">
      <c r="A113" t="s">
        <v>103</v>
      </c>
      <c r="B113">
        <v>0</v>
      </c>
      <c r="C113">
        <v>-0.15</v>
      </c>
      <c r="D113">
        <v>0</v>
      </c>
      <c r="E113">
        <v>0</v>
      </c>
      <c r="F113">
        <v>0</v>
      </c>
    </row>
    <row r="114" spans="1:6" x14ac:dyDescent="0.35">
      <c r="A114" t="s">
        <v>96</v>
      </c>
      <c r="B114">
        <v>0</v>
      </c>
      <c r="C114">
        <v>279.62</v>
      </c>
      <c r="D114">
        <v>0</v>
      </c>
      <c r="E114">
        <v>0</v>
      </c>
      <c r="F114">
        <v>0</v>
      </c>
    </row>
    <row r="115" spans="1:6" x14ac:dyDescent="0.35">
      <c r="A115" t="s">
        <v>97</v>
      </c>
      <c r="B115">
        <v>0</v>
      </c>
      <c r="C115">
        <v>-10.27</v>
      </c>
      <c r="D115">
        <v>0</v>
      </c>
      <c r="E115">
        <v>0</v>
      </c>
      <c r="F115">
        <v>0</v>
      </c>
    </row>
    <row r="116" spans="1:6" x14ac:dyDescent="0.35">
      <c r="A116" t="s">
        <v>77</v>
      </c>
      <c r="B116">
        <v>-0.35</v>
      </c>
      <c r="C116">
        <v>0</v>
      </c>
      <c r="D116">
        <v>0</v>
      </c>
      <c r="E116">
        <v>0</v>
      </c>
      <c r="F116">
        <v>-0.34</v>
      </c>
    </row>
    <row r="117" spans="1:6" x14ac:dyDescent="0.35">
      <c r="A117" s="1" t="s">
        <v>68</v>
      </c>
      <c r="B117" s="1">
        <f>SUM(B102:B116)</f>
        <v>98.38</v>
      </c>
      <c r="C117" s="1">
        <f>SUM(C102:C116)</f>
        <v>292.60000000000002</v>
      </c>
      <c r="D117" s="1">
        <f>SUM(D102:D116)</f>
        <v>-68.81</v>
      </c>
      <c r="E117" s="1">
        <f>SUM(E102:E116)</f>
        <v>-35.720000000000006</v>
      </c>
      <c r="F117" s="1">
        <f>SUM(F102:F116)</f>
        <v>-90.08</v>
      </c>
    </row>
    <row r="119" spans="1:6" x14ac:dyDescent="0.35">
      <c r="A119" s="1" t="s">
        <v>78</v>
      </c>
      <c r="B119" s="1">
        <f>B93+B100+B117</f>
        <v>-11.090000000000032</v>
      </c>
      <c r="C119" s="1">
        <f>C93+C100+C117</f>
        <v>99.81</v>
      </c>
      <c r="D119" s="1">
        <f>D93+D100+D117</f>
        <v>-39.620000000000005</v>
      </c>
      <c r="E119" s="1">
        <f>E93+E100+E117</f>
        <v>-13.13000000000001</v>
      </c>
      <c r="F119" s="1">
        <f>F93+F100+F117</f>
        <v>2.3799999999999812</v>
      </c>
    </row>
    <row r="120" spans="1:6" x14ac:dyDescent="0.35">
      <c r="A120" t="s">
        <v>79</v>
      </c>
      <c r="B120">
        <v>22.22</v>
      </c>
      <c r="C120">
        <v>11.11</v>
      </c>
      <c r="D120">
        <v>110.91</v>
      </c>
      <c r="E120">
        <v>71.3</v>
      </c>
      <c r="F120">
        <v>58.15</v>
      </c>
    </row>
    <row r="121" spans="1:6" x14ac:dyDescent="0.35">
      <c r="A121" t="s">
        <v>80</v>
      </c>
      <c r="B121">
        <v>11.11</v>
      </c>
      <c r="C121">
        <v>110.91</v>
      </c>
      <c r="D121">
        <v>71.3</v>
      </c>
      <c r="E121">
        <v>58.15</v>
      </c>
      <c r="F121">
        <v>60.52</v>
      </c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E13"/>
  <sheetViews>
    <sheetView workbookViewId="0">
      <selection activeCell="G13" sqref="G13"/>
    </sheetView>
  </sheetViews>
  <sheetFormatPr baseColWidth="10" defaultRowHeight="14.5" x14ac:dyDescent="0.35"/>
  <sheetData>
    <row r="3" spans="2:5" x14ac:dyDescent="0.35">
      <c r="B3" t="s">
        <v>260</v>
      </c>
    </row>
    <row r="4" spans="2:5" x14ac:dyDescent="0.35">
      <c r="C4" s="10">
        <v>42287</v>
      </c>
      <c r="D4" s="10">
        <v>42328</v>
      </c>
      <c r="E4" s="10">
        <v>42062</v>
      </c>
    </row>
    <row r="5" spans="2:5" x14ac:dyDescent="0.35">
      <c r="B5">
        <v>2015</v>
      </c>
      <c r="C5" s="6">
        <f>3458/(11707-175)</f>
        <v>0.29986125563648974</v>
      </c>
      <c r="D5" s="6">
        <v>0.40400000000000003</v>
      </c>
      <c r="E5" s="6">
        <v>0.52849999999999997</v>
      </c>
    </row>
    <row r="6" spans="2:5" x14ac:dyDescent="0.35">
      <c r="B6">
        <v>2016</v>
      </c>
      <c r="C6" s="6">
        <f>2548/(12951-235)</f>
        <v>0.20037747719408619</v>
      </c>
      <c r="D6" s="6">
        <v>0.33360000000000001</v>
      </c>
      <c r="E6" s="6">
        <v>0.37209999999999999</v>
      </c>
    </row>
    <row r="7" spans="2:5" x14ac:dyDescent="0.35">
      <c r="B7">
        <v>2017</v>
      </c>
      <c r="C7" s="6">
        <f>1443/(12831-186)</f>
        <v>0.11411625148279952</v>
      </c>
      <c r="D7" s="6">
        <v>0.3135</v>
      </c>
      <c r="E7" s="6">
        <v>0.3538</v>
      </c>
    </row>
    <row r="9" spans="2:5" x14ac:dyDescent="0.35">
      <c r="B9" t="s">
        <v>256</v>
      </c>
    </row>
    <row r="10" spans="2:5" x14ac:dyDescent="0.35">
      <c r="C10" s="10">
        <v>42287</v>
      </c>
      <c r="D10" s="10">
        <v>42328</v>
      </c>
      <c r="E10" s="10">
        <v>42062</v>
      </c>
    </row>
    <row r="11" spans="2:5" x14ac:dyDescent="0.35">
      <c r="B11">
        <v>2015</v>
      </c>
      <c r="C11">
        <v>35739</v>
      </c>
      <c r="D11">
        <v>33766</v>
      </c>
      <c r="E11">
        <v>35534</v>
      </c>
    </row>
    <row r="12" spans="2:5" x14ac:dyDescent="0.35">
      <c r="B12">
        <v>2016</v>
      </c>
      <c r="C12">
        <v>35503</v>
      </c>
      <c r="D12">
        <v>31977</v>
      </c>
      <c r="E12">
        <v>34254</v>
      </c>
    </row>
    <row r="13" spans="2:5" x14ac:dyDescent="0.35">
      <c r="B13">
        <v>2017</v>
      </c>
      <c r="C13">
        <v>32548</v>
      </c>
      <c r="D13">
        <v>31431</v>
      </c>
      <c r="E13">
        <v>33937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22"/>
  <sheetViews>
    <sheetView zoomScale="90" zoomScaleNormal="90" workbookViewId="0">
      <pane xSplit="1" ySplit="2" topLeftCell="B39" activePane="bottomRight" state="frozen"/>
      <selection pane="topRight" activeCell="B1" sqref="B1"/>
      <selection pane="bottomLeft" activeCell="A3" sqref="A3"/>
      <selection pane="bottomRight" activeCell="M15" sqref="M15"/>
    </sheetView>
  </sheetViews>
  <sheetFormatPr baseColWidth="10" defaultRowHeight="14.5" x14ac:dyDescent="0.35"/>
  <cols>
    <col min="1" max="1" width="26.453125" customWidth="1"/>
  </cols>
  <sheetData>
    <row r="2" spans="1:7" x14ac:dyDescent="0.35">
      <c r="B2">
        <v>2013</v>
      </c>
      <c r="C2">
        <v>2014</v>
      </c>
      <c r="D2">
        <v>2015</v>
      </c>
      <c r="E2">
        <v>2016</v>
      </c>
      <c r="F2">
        <v>2017</v>
      </c>
    </row>
    <row r="3" spans="1:7" x14ac:dyDescent="0.35">
      <c r="A3" s="1" t="s">
        <v>23</v>
      </c>
    </row>
    <row r="6" spans="1:7" x14ac:dyDescent="0.35">
      <c r="A6" s="1" t="s">
        <v>63</v>
      </c>
    </row>
    <row r="7" spans="1:7" x14ac:dyDescent="0.35">
      <c r="A7" t="s">
        <v>0</v>
      </c>
      <c r="B7">
        <v>449.25</v>
      </c>
      <c r="C7">
        <v>747.36</v>
      </c>
      <c r="D7" s="2">
        <f>SUM(Quarterly!H7:K7)</f>
        <v>842.04539264468497</v>
      </c>
      <c r="E7" s="2">
        <f>SUM(Quarterly!L7:O7)</f>
        <v>626.04309721225411</v>
      </c>
      <c r="F7" s="2">
        <f>SUM(Quarterly!P7:S7)</f>
        <v>638.89701077865607</v>
      </c>
    </row>
    <row r="8" spans="1:7" x14ac:dyDescent="0.35">
      <c r="A8" t="s">
        <v>2</v>
      </c>
      <c r="B8">
        <v>-160.52000000000001</v>
      </c>
      <c r="C8">
        <v>-208.19</v>
      </c>
      <c r="D8" s="2">
        <f>SUM(Quarterly!H8:K8)</f>
        <v>-215.12723310308129</v>
      </c>
      <c r="E8" s="2">
        <f>SUM(Quarterly!L8:O8)</f>
        <v>-219.35325375047938</v>
      </c>
      <c r="F8" s="2">
        <f>SUM(Quarterly!P8:S8)</f>
        <v>-228.20472505819993</v>
      </c>
    </row>
    <row r="9" spans="1:7" x14ac:dyDescent="0.35">
      <c r="A9" s="1" t="s">
        <v>1</v>
      </c>
      <c r="B9" s="1">
        <f>SUM(B7:B8)</f>
        <v>288.73</v>
      </c>
      <c r="C9" s="1">
        <v>539.16999999999996</v>
      </c>
      <c r="D9" s="4">
        <f>SUM(Quarterly!H9:K9)</f>
        <v>626.9181595416037</v>
      </c>
      <c r="E9" s="4">
        <f>SUM(Quarterly!L9:O9)</f>
        <v>406.68984346177479</v>
      </c>
      <c r="F9" s="4">
        <f>SUM(Quarterly!P9:S9)</f>
        <v>410.6922857204562</v>
      </c>
      <c r="G9" s="1"/>
    </row>
    <row r="10" spans="1:7" x14ac:dyDescent="0.35">
      <c r="A10" t="s">
        <v>3</v>
      </c>
      <c r="B10">
        <v>0.89</v>
      </c>
      <c r="C10">
        <v>1.86</v>
      </c>
      <c r="D10">
        <f>SUM(Quarterly!H10:K10)</f>
        <v>0</v>
      </c>
      <c r="E10">
        <f>SUM(Quarterly!L10:O10)</f>
        <v>0</v>
      </c>
      <c r="F10" s="2">
        <f>SUM(Quarterly!P10:S10)</f>
        <v>0</v>
      </c>
    </row>
    <row r="11" spans="1:7" x14ac:dyDescent="0.35">
      <c r="A11" t="s">
        <v>85</v>
      </c>
      <c r="B11">
        <v>-60.83</v>
      </c>
      <c r="C11">
        <v>-98.1</v>
      </c>
      <c r="D11" s="2">
        <f>SUM(Quarterly!H11:K11)</f>
        <v>-88</v>
      </c>
      <c r="E11" s="2">
        <f>SUM(Quarterly!L11:O11)</f>
        <v>-88</v>
      </c>
      <c r="F11" s="2">
        <f>SUM(Quarterly!P11:S11)</f>
        <v>-88</v>
      </c>
    </row>
    <row r="12" spans="1:7" x14ac:dyDescent="0.35">
      <c r="A12" t="s">
        <v>4</v>
      </c>
      <c r="B12">
        <v>-92.6</v>
      </c>
      <c r="C12">
        <v>-102.89</v>
      </c>
      <c r="D12" s="2">
        <f>SUM(Quarterly!H12:K12)</f>
        <v>-111.06650375375</v>
      </c>
      <c r="E12" s="2">
        <f>SUM(Quarterly!L12:O12)</f>
        <v>-116.83244122032836</v>
      </c>
      <c r="F12" s="2">
        <f>SUM(Quarterly!P12:S12)</f>
        <v>-119.09074613450807</v>
      </c>
    </row>
    <row r="13" spans="1:7" x14ac:dyDescent="0.35">
      <c r="A13" s="1" t="s">
        <v>5</v>
      </c>
      <c r="B13" s="1">
        <f>SUM(B9:B12)</f>
        <v>136.19000000000003</v>
      </c>
      <c r="C13" s="1">
        <v>340.04</v>
      </c>
      <c r="D13" s="4">
        <f>SUM(Quarterly!H13:K13)</f>
        <v>427.8516557878537</v>
      </c>
      <c r="E13" s="4">
        <f>SUM(Quarterly!L13:O13)</f>
        <v>201.85740224144638</v>
      </c>
      <c r="F13" s="4">
        <f>SUM(Quarterly!P13:S13)</f>
        <v>203.60153958594807</v>
      </c>
      <c r="G13" s="1"/>
    </row>
    <row r="14" spans="1:7" x14ac:dyDescent="0.35">
      <c r="A14" t="s">
        <v>6</v>
      </c>
      <c r="B14">
        <v>-0.88</v>
      </c>
      <c r="C14">
        <v>0</v>
      </c>
      <c r="D14">
        <f>SUM(Quarterly!H14:K14)</f>
        <v>0</v>
      </c>
      <c r="E14" s="2">
        <f>SUM(Quarterly!L14:O14)</f>
        <v>0</v>
      </c>
      <c r="F14" s="2">
        <f>SUM(Quarterly!P14:S14)</f>
        <v>0</v>
      </c>
    </row>
    <row r="15" spans="1:7" x14ac:dyDescent="0.35">
      <c r="A15" t="s">
        <v>7</v>
      </c>
      <c r="B15">
        <v>-1.02</v>
      </c>
      <c r="C15">
        <v>0</v>
      </c>
      <c r="D15">
        <f>SUM(Quarterly!H15:K15)</f>
        <v>0</v>
      </c>
      <c r="E15" s="2">
        <f>SUM(Quarterly!L15:O15)</f>
        <v>0</v>
      </c>
      <c r="F15" s="2">
        <f>SUM(Quarterly!P15:S15)</f>
        <v>0</v>
      </c>
    </row>
    <row r="16" spans="1:7" x14ac:dyDescent="0.35">
      <c r="A16" t="s">
        <v>8</v>
      </c>
      <c r="B16">
        <v>-6.33</v>
      </c>
      <c r="C16">
        <v>-4.91</v>
      </c>
      <c r="D16">
        <f>SUM(Quarterly!H16:K16)</f>
        <v>-4.92</v>
      </c>
      <c r="E16" s="2">
        <f>SUM(Quarterly!L16:O16)</f>
        <v>-4.92</v>
      </c>
      <c r="F16" s="2">
        <f>SUM(Quarterly!P16:S16)</f>
        <v>-4.92</v>
      </c>
    </row>
    <row r="17" spans="1:8" x14ac:dyDescent="0.35">
      <c r="A17" t="s">
        <v>9</v>
      </c>
      <c r="B17">
        <v>-53.12</v>
      </c>
      <c r="C17">
        <v>-66.12</v>
      </c>
      <c r="D17" s="2">
        <f>SUM(Quarterly!H17:K17)</f>
        <v>-80.150000000000006</v>
      </c>
      <c r="E17" s="2">
        <f>SUM(Quarterly!L17:O17)</f>
        <v>-91.4</v>
      </c>
      <c r="F17" s="2">
        <f>SUM(Quarterly!P17:S17)</f>
        <v>-94.4</v>
      </c>
    </row>
    <row r="18" spans="1:8" x14ac:dyDescent="0.35">
      <c r="A18" t="s">
        <v>10</v>
      </c>
      <c r="B18">
        <v>56.35</v>
      </c>
      <c r="C18">
        <v>0</v>
      </c>
      <c r="D18">
        <f>SUM(Quarterly!H18:K18)</f>
        <v>0</v>
      </c>
      <c r="E18" s="2">
        <f>SUM(Quarterly!L18:O18)</f>
        <v>0</v>
      </c>
      <c r="F18" s="2">
        <f>SUM(Quarterly!P18:S18)</f>
        <v>0</v>
      </c>
    </row>
    <row r="19" spans="1:8" x14ac:dyDescent="0.35">
      <c r="A19" s="1" t="s">
        <v>11</v>
      </c>
      <c r="B19" s="1">
        <f>SUM(B13:B18)</f>
        <v>131.19000000000003</v>
      </c>
      <c r="C19" s="1">
        <v>269</v>
      </c>
      <c r="D19" s="4">
        <f>SUM(Quarterly!H19:K19)</f>
        <v>342.78165578785365</v>
      </c>
      <c r="E19" s="4">
        <f>SUM(Quarterly!L19:O19)</f>
        <v>105.5374022414464</v>
      </c>
      <c r="F19" s="4">
        <f>SUM(Quarterly!P19:S19)</f>
        <v>104.28153958594811</v>
      </c>
      <c r="G19" s="1"/>
    </row>
    <row r="20" spans="1:8" x14ac:dyDescent="0.35">
      <c r="A20" t="s">
        <v>12</v>
      </c>
      <c r="B20">
        <v>-0.06</v>
      </c>
      <c r="C20">
        <v>-0.2</v>
      </c>
      <c r="D20">
        <f>SUM(Quarterly!H20:K20)</f>
        <v>0</v>
      </c>
      <c r="E20" s="2">
        <f>SUM(Quarterly!L20:O20)</f>
        <v>0</v>
      </c>
      <c r="F20" s="2">
        <f>SUM(Quarterly!P20:S20)</f>
        <v>0</v>
      </c>
    </row>
    <row r="21" spans="1:8" x14ac:dyDescent="0.35">
      <c r="A21" t="s">
        <v>13</v>
      </c>
      <c r="B21">
        <v>0.05</v>
      </c>
      <c r="C21">
        <v>0.1</v>
      </c>
      <c r="D21">
        <f>SUM(Quarterly!H21:K21)</f>
        <v>0</v>
      </c>
      <c r="E21" s="2">
        <f>SUM(Quarterly!L21:O21)</f>
        <v>0</v>
      </c>
      <c r="F21" s="2">
        <f>SUM(Quarterly!P21:S21)</f>
        <v>0</v>
      </c>
    </row>
    <row r="22" spans="1:8" x14ac:dyDescent="0.35">
      <c r="A22" t="s">
        <v>14</v>
      </c>
      <c r="B22">
        <v>-5.48</v>
      </c>
      <c r="C22">
        <v>-10.38</v>
      </c>
      <c r="D22" s="2">
        <f>SUM(Quarterly!H22:K22)</f>
        <v>-10.6</v>
      </c>
      <c r="E22" s="2">
        <f>SUM(Quarterly!L22:O22)</f>
        <v>-10.6</v>
      </c>
      <c r="F22" s="2">
        <f>SUM(Quarterly!P22:S22)</f>
        <v>-10.6</v>
      </c>
    </row>
    <row r="23" spans="1:8" x14ac:dyDescent="0.35">
      <c r="A23" t="s">
        <v>86</v>
      </c>
      <c r="B23">
        <v>0.18</v>
      </c>
      <c r="C23">
        <v>-0.94</v>
      </c>
      <c r="D23">
        <f>SUM(Quarterly!H23:K23)</f>
        <v>0</v>
      </c>
      <c r="E23" s="2">
        <f>SUM(Quarterly!L23:O23)</f>
        <v>0</v>
      </c>
      <c r="F23" s="2">
        <f>SUM(Quarterly!P23:S23)</f>
        <v>0</v>
      </c>
    </row>
    <row r="24" spans="1:8" x14ac:dyDescent="0.35">
      <c r="A24" t="s">
        <v>15</v>
      </c>
      <c r="B24">
        <v>-0.16</v>
      </c>
      <c r="C24">
        <v>-1.24</v>
      </c>
      <c r="D24">
        <f>SUM(Quarterly!H24:K24)</f>
        <v>0</v>
      </c>
      <c r="E24" s="2">
        <f>SUM(Quarterly!L24:O24)</f>
        <v>0</v>
      </c>
      <c r="F24" s="2">
        <f>SUM(Quarterly!P24:S24)</f>
        <v>0</v>
      </c>
    </row>
    <row r="25" spans="1:8" x14ac:dyDescent="0.35">
      <c r="A25" s="1" t="s">
        <v>16</v>
      </c>
      <c r="B25" s="1">
        <f>SUM(B20:B24)</f>
        <v>-5.4700000000000006</v>
      </c>
      <c r="C25" s="1">
        <v>-12.64</v>
      </c>
      <c r="D25" s="4">
        <f>SUM(Quarterly!H25:K25)</f>
        <v>-10.6</v>
      </c>
      <c r="E25" s="4">
        <f>SUM(Quarterly!L25:O25)</f>
        <v>-10.6</v>
      </c>
      <c r="F25" s="4">
        <f>SUM(Quarterly!P25:S25)</f>
        <v>-10.6</v>
      </c>
      <c r="G25" s="1"/>
    </row>
    <row r="26" spans="1:8" x14ac:dyDescent="0.35">
      <c r="A26" s="1" t="s">
        <v>17</v>
      </c>
      <c r="B26" s="1">
        <f>B19+B25</f>
        <v>125.72000000000003</v>
      </c>
      <c r="C26" s="1">
        <v>256.66000000000003</v>
      </c>
      <c r="D26" s="4">
        <f>SUM(Quarterly!H26:K26)</f>
        <v>332.18165578785363</v>
      </c>
      <c r="E26" s="4">
        <f>SUM(Quarterly!L26:O26)</f>
        <v>94.937402241446392</v>
      </c>
      <c r="F26" s="4">
        <f>SUM(Quarterly!P26:S26)</f>
        <v>93.681539585948101</v>
      </c>
      <c r="G26" s="1"/>
    </row>
    <row r="27" spans="1:8" x14ac:dyDescent="0.35">
      <c r="A27" t="s">
        <v>18</v>
      </c>
      <c r="B27">
        <v>0</v>
      </c>
      <c r="C27">
        <v>-0.69</v>
      </c>
      <c r="D27">
        <f>SUM(Quarterly!H27:K27)</f>
        <v>0</v>
      </c>
      <c r="E27" s="2">
        <f>SUM(Quarterly!L27:O27)</f>
        <v>0</v>
      </c>
      <c r="F27" s="2">
        <f>SUM(Quarterly!P27:S27)</f>
        <v>0</v>
      </c>
    </row>
    <row r="28" spans="1:8" x14ac:dyDescent="0.35">
      <c r="A28" t="s">
        <v>19</v>
      </c>
      <c r="B28">
        <v>0</v>
      </c>
      <c r="C28">
        <v>0</v>
      </c>
      <c r="D28">
        <f>SUM(Quarterly!H28:K28)</f>
        <v>0</v>
      </c>
      <c r="E28" s="2">
        <f>SUM(Quarterly!L28:O28)</f>
        <v>0</v>
      </c>
      <c r="F28" s="2">
        <f>SUM(Quarterly!P28:S28)</f>
        <v>0</v>
      </c>
    </row>
    <row r="29" spans="1:8" x14ac:dyDescent="0.35">
      <c r="A29" s="1" t="s">
        <v>20</v>
      </c>
      <c r="B29" s="1">
        <f>SUM(B26:B28)</f>
        <v>125.72000000000003</v>
      </c>
      <c r="C29" s="1">
        <v>255.67</v>
      </c>
      <c r="D29" s="4">
        <f>SUM(Quarterly!H29:K29)</f>
        <v>332.18165578785363</v>
      </c>
      <c r="E29" s="4">
        <f>SUM(Quarterly!L29:O29)</f>
        <v>94.937402241446392</v>
      </c>
      <c r="F29" s="4">
        <f>SUM(Quarterly!P29:S29)</f>
        <v>93.681539585948101</v>
      </c>
      <c r="G29" s="1"/>
      <c r="H29" s="1"/>
    </row>
    <row r="30" spans="1:8" x14ac:dyDescent="0.35">
      <c r="A30" t="s">
        <v>21</v>
      </c>
      <c r="B30">
        <v>124.74</v>
      </c>
      <c r="C30" s="12">
        <v>252.76</v>
      </c>
    </row>
    <row r="31" spans="1:8" x14ac:dyDescent="0.35">
      <c r="A31" t="s">
        <v>22</v>
      </c>
      <c r="B31">
        <v>0.97</v>
      </c>
      <c r="C31" s="12">
        <v>1.1000000000000001</v>
      </c>
    </row>
    <row r="33" spans="1:8" x14ac:dyDescent="0.35">
      <c r="A33" s="1" t="s">
        <v>24</v>
      </c>
    </row>
    <row r="35" spans="1:8" x14ac:dyDescent="0.35">
      <c r="A35" t="s">
        <v>25</v>
      </c>
      <c r="B35">
        <v>22.29</v>
      </c>
      <c r="C35">
        <v>17.38</v>
      </c>
    </row>
    <row r="36" spans="1:8" x14ac:dyDescent="0.35">
      <c r="A36" s="1" t="s">
        <v>26</v>
      </c>
      <c r="B36" s="1">
        <f>SUM(B35)</f>
        <v>22.29</v>
      </c>
      <c r="C36" s="1">
        <v>17.38</v>
      </c>
      <c r="D36" s="1"/>
      <c r="E36" s="1"/>
      <c r="F36" s="1"/>
      <c r="G36" s="1"/>
      <c r="H36" s="1"/>
    </row>
    <row r="37" spans="1:8" x14ac:dyDescent="0.35">
      <c r="A37" t="s">
        <v>100</v>
      </c>
      <c r="B37">
        <v>0</v>
      </c>
      <c r="C37">
        <v>0.68</v>
      </c>
    </row>
    <row r="38" spans="1:8" x14ac:dyDescent="0.35">
      <c r="A38" t="s">
        <v>27</v>
      </c>
      <c r="B38">
        <v>1261.29</v>
      </c>
      <c r="C38">
        <v>1282.42</v>
      </c>
    </row>
    <row r="39" spans="1:8" x14ac:dyDescent="0.35">
      <c r="A39" t="s">
        <v>28</v>
      </c>
      <c r="B39">
        <v>65.239999999999995</v>
      </c>
      <c r="C39">
        <v>153.84</v>
      </c>
    </row>
    <row r="40" spans="1:8" x14ac:dyDescent="0.35">
      <c r="A40" t="s">
        <v>29</v>
      </c>
      <c r="B40">
        <v>28.44</v>
      </c>
      <c r="C40">
        <v>36.17</v>
      </c>
    </row>
    <row r="41" spans="1:8" x14ac:dyDescent="0.35">
      <c r="A41" t="s">
        <v>98</v>
      </c>
      <c r="B41">
        <v>0.32</v>
      </c>
      <c r="C41">
        <v>0.5</v>
      </c>
    </row>
    <row r="42" spans="1:8" x14ac:dyDescent="0.35">
      <c r="A42" s="1" t="s">
        <v>30</v>
      </c>
      <c r="B42" s="1">
        <f>SUM(B37:B41)</f>
        <v>1355.29</v>
      </c>
      <c r="C42" s="1">
        <v>1472.93</v>
      </c>
      <c r="D42" s="1"/>
      <c r="E42" s="1"/>
      <c r="F42" s="1"/>
      <c r="G42" s="1"/>
      <c r="H42" s="1"/>
    </row>
    <row r="43" spans="1:8" x14ac:dyDescent="0.35">
      <c r="A43" s="1" t="s">
        <v>31</v>
      </c>
      <c r="B43" s="1">
        <f>B36+B42</f>
        <v>1377.58</v>
      </c>
      <c r="C43" s="1">
        <v>1490.99</v>
      </c>
      <c r="D43" s="1"/>
      <c r="E43" s="1"/>
      <c r="F43" s="1"/>
      <c r="G43" s="1"/>
      <c r="H43" s="1"/>
    </row>
    <row r="44" spans="1:8" x14ac:dyDescent="0.35">
      <c r="A44" t="s">
        <v>32</v>
      </c>
      <c r="B44">
        <v>20.72</v>
      </c>
      <c r="C44">
        <v>15.63</v>
      </c>
    </row>
    <row r="45" spans="1:8" x14ac:dyDescent="0.35">
      <c r="A45" t="s">
        <v>33</v>
      </c>
      <c r="B45">
        <v>122.03</v>
      </c>
      <c r="C45">
        <v>87.17</v>
      </c>
    </row>
    <row r="46" spans="1:8" x14ac:dyDescent="0.35">
      <c r="A46" t="s">
        <v>87</v>
      </c>
      <c r="B46">
        <v>0.18</v>
      </c>
      <c r="C46">
        <v>0</v>
      </c>
    </row>
    <row r="47" spans="1:8" x14ac:dyDescent="0.35">
      <c r="A47" t="s">
        <v>34</v>
      </c>
      <c r="B47">
        <v>110.91</v>
      </c>
      <c r="C47">
        <v>70.239999999999995</v>
      </c>
    </row>
    <row r="48" spans="1:8" x14ac:dyDescent="0.35">
      <c r="A48" s="1" t="s">
        <v>35</v>
      </c>
      <c r="B48" s="1">
        <f>SUM(B44:B47)</f>
        <v>253.84</v>
      </c>
      <c r="C48" s="1">
        <v>173.07</v>
      </c>
      <c r="D48" s="1"/>
      <c r="E48" s="1"/>
      <c r="F48" s="1"/>
      <c r="G48" s="1"/>
      <c r="H48" s="1"/>
    </row>
    <row r="49" spans="1:8" x14ac:dyDescent="0.35">
      <c r="A49" t="s">
        <v>36</v>
      </c>
      <c r="B49">
        <v>0</v>
      </c>
      <c r="C49">
        <v>0</v>
      </c>
    </row>
    <row r="50" spans="1:8" x14ac:dyDescent="0.35">
      <c r="A50" s="1" t="s">
        <v>37</v>
      </c>
      <c r="B50" s="1">
        <f>B43+B48</f>
        <v>1631.4199999999998</v>
      </c>
      <c r="C50" s="1">
        <v>1664.06</v>
      </c>
      <c r="D50" s="1"/>
      <c r="E50" s="1"/>
      <c r="F50" s="1"/>
      <c r="G50" s="1"/>
      <c r="H50" s="1"/>
    </row>
    <row r="52" spans="1:8" x14ac:dyDescent="0.35">
      <c r="A52" t="s">
        <v>38</v>
      </c>
      <c r="B52">
        <v>1.36</v>
      </c>
      <c r="C52" s="1">
        <v>1.36</v>
      </c>
    </row>
    <row r="53" spans="1:8" x14ac:dyDescent="0.35">
      <c r="A53" t="s">
        <v>88</v>
      </c>
      <c r="B53">
        <v>268.99</v>
      </c>
      <c r="C53">
        <v>269.10000000000002</v>
      </c>
    </row>
    <row r="54" spans="1:8" x14ac:dyDescent="0.35">
      <c r="A54" t="s">
        <v>230</v>
      </c>
      <c r="B54">
        <v>0</v>
      </c>
      <c r="C54" s="12">
        <v>-22.44</v>
      </c>
    </row>
    <row r="55" spans="1:8" x14ac:dyDescent="0.35">
      <c r="A55" t="s">
        <v>89</v>
      </c>
      <c r="B55">
        <v>685.91</v>
      </c>
      <c r="C55" s="12">
        <v>685.91</v>
      </c>
    </row>
    <row r="56" spans="1:8" x14ac:dyDescent="0.35">
      <c r="A56" t="s">
        <v>90</v>
      </c>
      <c r="B56">
        <v>-41.47</v>
      </c>
      <c r="C56" s="12">
        <v>-43.28</v>
      </c>
    </row>
    <row r="57" spans="1:8" x14ac:dyDescent="0.35">
      <c r="A57" t="s">
        <v>39</v>
      </c>
      <c r="B57">
        <v>50.2</v>
      </c>
      <c r="C57" s="12">
        <v>180.75</v>
      </c>
    </row>
    <row r="58" spans="1:8" x14ac:dyDescent="0.35">
      <c r="A58" t="s">
        <v>40</v>
      </c>
      <c r="B58">
        <v>9.73</v>
      </c>
      <c r="C58" s="12">
        <v>9.56</v>
      </c>
      <c r="D58" s="1"/>
      <c r="E58" s="1"/>
      <c r="F58" s="1"/>
      <c r="G58" s="1"/>
      <c r="H58" s="1"/>
    </row>
    <row r="59" spans="1:8" x14ac:dyDescent="0.35">
      <c r="A59" s="1" t="s">
        <v>41</v>
      </c>
      <c r="B59" s="1">
        <f>SUM(B52:B58)</f>
        <v>974.72</v>
      </c>
      <c r="C59" s="1">
        <v>1080.95</v>
      </c>
    </row>
    <row r="60" spans="1:8" x14ac:dyDescent="0.35">
      <c r="A60" t="s">
        <v>43</v>
      </c>
      <c r="B60">
        <v>503.36</v>
      </c>
      <c r="C60" s="12">
        <v>469.85</v>
      </c>
    </row>
    <row r="61" spans="1:8" x14ac:dyDescent="0.35">
      <c r="A61" t="s">
        <v>92</v>
      </c>
      <c r="B61">
        <v>1.24</v>
      </c>
      <c r="C61" s="12">
        <v>0.74</v>
      </c>
    </row>
    <row r="62" spans="1:8" x14ac:dyDescent="0.35">
      <c r="A62" t="s">
        <v>262</v>
      </c>
      <c r="B62">
        <v>0</v>
      </c>
      <c r="C62" s="12">
        <v>0.8</v>
      </c>
    </row>
    <row r="63" spans="1:8" x14ac:dyDescent="0.35">
      <c r="A63" s="1" t="s">
        <v>42</v>
      </c>
      <c r="B63" s="1">
        <f>SUM(B60:B62)</f>
        <v>504.6</v>
      </c>
      <c r="C63" s="1">
        <v>471.39</v>
      </c>
    </row>
    <row r="64" spans="1:8" x14ac:dyDescent="0.35">
      <c r="A64" t="s">
        <v>44</v>
      </c>
      <c r="B64">
        <v>105.28</v>
      </c>
      <c r="C64" s="12">
        <v>59.58</v>
      </c>
    </row>
    <row r="65" spans="1:8" x14ac:dyDescent="0.35">
      <c r="A65" t="s">
        <v>91</v>
      </c>
      <c r="B65">
        <v>0.5</v>
      </c>
      <c r="C65" s="12">
        <v>0.5</v>
      </c>
    </row>
    <row r="66" spans="1:8" x14ac:dyDescent="0.35">
      <c r="A66" t="s">
        <v>99</v>
      </c>
      <c r="B66">
        <v>0</v>
      </c>
      <c r="C66" s="12">
        <v>1.7</v>
      </c>
    </row>
    <row r="67" spans="1:8" x14ac:dyDescent="0.35">
      <c r="A67" t="s">
        <v>45</v>
      </c>
      <c r="B67">
        <v>0</v>
      </c>
      <c r="C67" s="12">
        <v>0.67</v>
      </c>
      <c r="D67" s="1"/>
      <c r="E67" s="1"/>
      <c r="F67" s="1"/>
      <c r="G67" s="1"/>
      <c r="H67" s="1"/>
    </row>
    <row r="68" spans="1:8" x14ac:dyDescent="0.35">
      <c r="A68" t="s">
        <v>46</v>
      </c>
      <c r="B68">
        <v>46.36</v>
      </c>
      <c r="C68" s="12">
        <v>49.25</v>
      </c>
      <c r="D68" s="1"/>
      <c r="E68" s="1"/>
      <c r="F68" s="1"/>
      <c r="G68" s="1"/>
      <c r="H68" s="1"/>
    </row>
    <row r="69" spans="1:8" x14ac:dyDescent="0.35">
      <c r="A69" s="1" t="s">
        <v>47</v>
      </c>
      <c r="B69" s="1">
        <f>SUM(B64:B68)</f>
        <v>152.13999999999999</v>
      </c>
      <c r="C69" s="1">
        <v>111.71</v>
      </c>
      <c r="D69" s="1"/>
      <c r="E69" s="1"/>
      <c r="F69" s="1"/>
      <c r="G69" s="1"/>
      <c r="H69" s="1"/>
    </row>
    <row r="70" spans="1:8" x14ac:dyDescent="0.35">
      <c r="A70" s="1" t="s">
        <v>48</v>
      </c>
      <c r="B70" s="1">
        <f>B63+B69</f>
        <v>656.74</v>
      </c>
      <c r="C70" s="1">
        <v>583.11</v>
      </c>
    </row>
    <row r="71" spans="1:8" x14ac:dyDescent="0.35">
      <c r="A71" s="1" t="s">
        <v>49</v>
      </c>
      <c r="B71" s="1">
        <f>B59+B70</f>
        <v>1631.46</v>
      </c>
      <c r="C71" s="1">
        <v>1664.06</v>
      </c>
    </row>
    <row r="73" spans="1:8" x14ac:dyDescent="0.35">
      <c r="A73" s="1" t="s">
        <v>50</v>
      </c>
    </row>
    <row r="75" spans="1:8" x14ac:dyDescent="0.35">
      <c r="A75" t="s">
        <v>51</v>
      </c>
      <c r="B75">
        <v>125.71</v>
      </c>
    </row>
    <row r="76" spans="1:8" x14ac:dyDescent="0.35">
      <c r="A76" t="s">
        <v>52</v>
      </c>
      <c r="B76">
        <v>6.33</v>
      </c>
    </row>
    <row r="77" spans="1:8" x14ac:dyDescent="0.35">
      <c r="A77" t="s">
        <v>53</v>
      </c>
      <c r="B77">
        <v>-0.5</v>
      </c>
    </row>
    <row r="78" spans="1:8" x14ac:dyDescent="0.35">
      <c r="A78" t="s">
        <v>54</v>
      </c>
      <c r="B78">
        <v>53.18</v>
      </c>
    </row>
    <row r="79" spans="1:8" x14ac:dyDescent="0.35">
      <c r="A79" t="s">
        <v>55</v>
      </c>
      <c r="B79">
        <v>-56.35</v>
      </c>
    </row>
    <row r="80" spans="1:8" x14ac:dyDescent="0.35">
      <c r="A80" t="s">
        <v>58</v>
      </c>
      <c r="B80">
        <v>0</v>
      </c>
    </row>
    <row r="81" spans="1:8" x14ac:dyDescent="0.35">
      <c r="A81" t="s">
        <v>86</v>
      </c>
      <c r="B81">
        <v>-0.18</v>
      </c>
    </row>
    <row r="82" spans="1:8" x14ac:dyDescent="0.35">
      <c r="A82" t="s">
        <v>13</v>
      </c>
      <c r="B82">
        <v>-0.05</v>
      </c>
    </row>
    <row r="83" spans="1:8" x14ac:dyDescent="0.35">
      <c r="A83" t="s">
        <v>14</v>
      </c>
      <c r="B83">
        <v>5.48</v>
      </c>
    </row>
    <row r="84" spans="1:8" x14ac:dyDescent="0.35">
      <c r="A84" t="s">
        <v>15</v>
      </c>
      <c r="B84">
        <v>0.16</v>
      </c>
    </row>
    <row r="85" spans="1:8" x14ac:dyDescent="0.35">
      <c r="A85" t="s">
        <v>101</v>
      </c>
      <c r="B85">
        <v>0</v>
      </c>
    </row>
    <row r="86" spans="1:8" x14ac:dyDescent="0.35">
      <c r="A86" t="s">
        <v>56</v>
      </c>
      <c r="B86">
        <v>0.88</v>
      </c>
      <c r="D86" s="1"/>
      <c r="E86" s="1"/>
      <c r="F86" s="1"/>
      <c r="G86" s="1"/>
      <c r="H86" s="1"/>
    </row>
    <row r="87" spans="1:8" x14ac:dyDescent="0.35">
      <c r="A87" t="s">
        <v>57</v>
      </c>
      <c r="B87">
        <v>1.02</v>
      </c>
    </row>
    <row r="88" spans="1:8" x14ac:dyDescent="0.35">
      <c r="A88" s="1" t="s">
        <v>59</v>
      </c>
      <c r="B88" s="1">
        <f>SUM(B75:B87)</f>
        <v>135.67999999999998</v>
      </c>
      <c r="C88" s="1"/>
    </row>
    <row r="89" spans="1:8" x14ac:dyDescent="0.35">
      <c r="A89" t="s">
        <v>32</v>
      </c>
      <c r="B89">
        <v>-2.02</v>
      </c>
    </row>
    <row r="90" spans="1:8" x14ac:dyDescent="0.35">
      <c r="A90" t="s">
        <v>33</v>
      </c>
      <c r="B90">
        <v>-64.84</v>
      </c>
      <c r="D90" s="1"/>
      <c r="E90" s="1"/>
      <c r="F90" s="1"/>
      <c r="G90" s="1"/>
      <c r="H90" s="1"/>
    </row>
    <row r="91" spans="1:8" x14ac:dyDescent="0.35">
      <c r="A91" t="s">
        <v>46</v>
      </c>
      <c r="B91">
        <v>53.45</v>
      </c>
    </row>
    <row r="92" spans="1:8" x14ac:dyDescent="0.35">
      <c r="A92" s="1" t="s">
        <v>60</v>
      </c>
      <c r="B92" s="1">
        <f>SUM(B88:B91)</f>
        <v>122.26999999999997</v>
      </c>
      <c r="C92" s="1"/>
      <c r="D92" s="1"/>
      <c r="E92" s="1"/>
      <c r="F92" s="1"/>
      <c r="G92" s="1"/>
      <c r="H92" s="1"/>
    </row>
    <row r="93" spans="1:8" x14ac:dyDescent="0.35">
      <c r="A93" t="s">
        <v>61</v>
      </c>
      <c r="B93">
        <v>-0.1</v>
      </c>
    </row>
    <row r="94" spans="1:8" x14ac:dyDescent="0.35">
      <c r="A94" s="1" t="s">
        <v>62</v>
      </c>
      <c r="B94" s="1">
        <f>SUM(B92:B93)</f>
        <v>122.16999999999997</v>
      </c>
      <c r="C94" s="1"/>
    </row>
    <row r="96" spans="1:8" x14ac:dyDescent="0.35">
      <c r="A96" t="s">
        <v>64</v>
      </c>
      <c r="B96">
        <v>-429.7</v>
      </c>
    </row>
    <row r="97" spans="1:8" x14ac:dyDescent="0.35">
      <c r="A97" t="s">
        <v>65</v>
      </c>
      <c r="B97">
        <v>6.03</v>
      </c>
    </row>
    <row r="98" spans="1:8" x14ac:dyDescent="0.35">
      <c r="A98" t="s">
        <v>75</v>
      </c>
      <c r="B98">
        <v>0</v>
      </c>
    </row>
    <row r="99" spans="1:8" x14ac:dyDescent="0.35">
      <c r="A99" t="s">
        <v>67</v>
      </c>
      <c r="B99">
        <v>0.05</v>
      </c>
      <c r="D99" s="1"/>
      <c r="E99" s="1"/>
      <c r="F99" s="1"/>
      <c r="G99" s="1"/>
      <c r="H99" s="1"/>
    </row>
    <row r="100" spans="1:8" x14ac:dyDescent="0.35">
      <c r="A100" t="s">
        <v>66</v>
      </c>
      <c r="B100">
        <v>-0.77</v>
      </c>
    </row>
    <row r="101" spans="1:8" x14ac:dyDescent="0.35">
      <c r="A101" s="1" t="s">
        <v>69</v>
      </c>
      <c r="B101" s="1">
        <f>SUM(B96:B100)</f>
        <v>-424.39</v>
      </c>
      <c r="C101" s="1"/>
    </row>
    <row r="103" spans="1:8" x14ac:dyDescent="0.35">
      <c r="A103" t="s">
        <v>70</v>
      </c>
      <c r="B103">
        <v>393.57</v>
      </c>
    </row>
    <row r="104" spans="1:8" x14ac:dyDescent="0.35">
      <c r="A104" t="s">
        <v>93</v>
      </c>
      <c r="B104">
        <v>-816.37</v>
      </c>
    </row>
    <row r="105" spans="1:8" x14ac:dyDescent="0.35">
      <c r="A105" t="s">
        <v>71</v>
      </c>
      <c r="B105">
        <v>692.65</v>
      </c>
    </row>
    <row r="106" spans="1:8" x14ac:dyDescent="0.35">
      <c r="A106" t="s">
        <v>72</v>
      </c>
      <c r="B106">
        <v>-12.91</v>
      </c>
    </row>
    <row r="107" spans="1:8" x14ac:dyDescent="0.35">
      <c r="A107" t="s">
        <v>94</v>
      </c>
      <c r="B107">
        <v>26.78</v>
      </c>
    </row>
    <row r="108" spans="1:8" x14ac:dyDescent="0.35">
      <c r="A108" t="s">
        <v>73</v>
      </c>
      <c r="B108">
        <v>-150</v>
      </c>
    </row>
    <row r="109" spans="1:8" x14ac:dyDescent="0.35">
      <c r="A109" t="s">
        <v>95</v>
      </c>
      <c r="B109">
        <v>-7.82</v>
      </c>
    </row>
    <row r="110" spans="1:8" x14ac:dyDescent="0.35">
      <c r="A110" t="s">
        <v>74</v>
      </c>
      <c r="B110">
        <v>-2.15</v>
      </c>
    </row>
    <row r="111" spans="1:8" x14ac:dyDescent="0.35">
      <c r="A111" t="s">
        <v>75</v>
      </c>
      <c r="B111">
        <v>-1.61</v>
      </c>
    </row>
    <row r="112" spans="1:8" x14ac:dyDescent="0.35">
      <c r="A112" t="s">
        <v>102</v>
      </c>
      <c r="B112">
        <v>0</v>
      </c>
    </row>
    <row r="113" spans="1:8" x14ac:dyDescent="0.35">
      <c r="A113" t="s">
        <v>76</v>
      </c>
      <c r="B113">
        <v>-0.16</v>
      </c>
    </row>
    <row r="114" spans="1:8" x14ac:dyDescent="0.35">
      <c r="A114" t="s">
        <v>103</v>
      </c>
      <c r="B114">
        <v>0</v>
      </c>
    </row>
    <row r="115" spans="1:8" x14ac:dyDescent="0.35">
      <c r="A115" t="s">
        <v>96</v>
      </c>
      <c r="B115">
        <v>279.62</v>
      </c>
    </row>
    <row r="116" spans="1:8" x14ac:dyDescent="0.35">
      <c r="A116" t="s">
        <v>97</v>
      </c>
      <c r="B116">
        <v>-10.27</v>
      </c>
      <c r="D116" s="1"/>
      <c r="E116" s="1"/>
      <c r="F116" s="1"/>
      <c r="G116" s="1"/>
      <c r="H116" s="1"/>
    </row>
    <row r="117" spans="1:8" x14ac:dyDescent="0.35">
      <c r="A117" t="s">
        <v>77</v>
      </c>
      <c r="B117">
        <v>-0.35</v>
      </c>
    </row>
    <row r="118" spans="1:8" x14ac:dyDescent="0.35">
      <c r="A118" s="1" t="s">
        <v>68</v>
      </c>
      <c r="B118" s="1">
        <f>SUM(B103:B117)</f>
        <v>390.9799999999999</v>
      </c>
      <c r="C118" s="1"/>
      <c r="D118" s="1"/>
      <c r="E118" s="1"/>
      <c r="F118" s="1"/>
      <c r="G118" s="1"/>
      <c r="H118" s="1"/>
    </row>
    <row r="120" spans="1:8" x14ac:dyDescent="0.35">
      <c r="A120" s="1" t="s">
        <v>78</v>
      </c>
      <c r="B120" s="1">
        <v>110.91</v>
      </c>
      <c r="C120" s="1"/>
    </row>
    <row r="121" spans="1:8" x14ac:dyDescent="0.35">
      <c r="A121" t="s">
        <v>79</v>
      </c>
      <c r="B121">
        <v>22.22</v>
      </c>
    </row>
    <row r="122" spans="1:8" x14ac:dyDescent="0.35">
      <c r="A122" t="s">
        <v>80</v>
      </c>
      <c r="B122">
        <v>88.69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workbookViewId="0">
      <pane xSplit="1" ySplit="5" topLeftCell="B15" activePane="bottomRight" state="frozen"/>
      <selection pane="topRight" activeCell="B1" sqref="B1"/>
      <selection pane="bottomLeft" activeCell="A6" sqref="A6"/>
      <selection pane="bottomRight" activeCell="J22" sqref="J22:N22"/>
    </sheetView>
  </sheetViews>
  <sheetFormatPr baseColWidth="10" defaultRowHeight="14.5" x14ac:dyDescent="0.35"/>
  <cols>
    <col min="1" max="1" width="22.81640625" bestFit="1" customWidth="1"/>
  </cols>
  <sheetData>
    <row r="1" spans="1:14" x14ac:dyDescent="0.35">
      <c r="A1" t="s">
        <v>148</v>
      </c>
      <c r="B1">
        <v>90</v>
      </c>
      <c r="D1" t="s">
        <v>234</v>
      </c>
      <c r="E1">
        <v>65</v>
      </c>
    </row>
    <row r="2" spans="1:14" x14ac:dyDescent="0.35">
      <c r="A2" t="s">
        <v>163</v>
      </c>
      <c r="B2">
        <f>1.005</f>
        <v>1.0049999999999999</v>
      </c>
      <c r="D2" t="s">
        <v>235</v>
      </c>
      <c r="E2">
        <v>132.9</v>
      </c>
    </row>
    <row r="3" spans="1:14" x14ac:dyDescent="0.35">
      <c r="D3" t="s">
        <v>190</v>
      </c>
      <c r="E3">
        <v>7.5</v>
      </c>
    </row>
    <row r="4" spans="1:14" x14ac:dyDescent="0.35">
      <c r="A4" t="s">
        <v>164</v>
      </c>
      <c r="B4">
        <v>2014</v>
      </c>
      <c r="C4">
        <v>2015</v>
      </c>
      <c r="G4">
        <v>2016</v>
      </c>
      <c r="K4">
        <v>2017</v>
      </c>
    </row>
    <row r="5" spans="1:14" x14ac:dyDescent="0.35">
      <c r="A5" t="s">
        <v>165</v>
      </c>
      <c r="B5" t="s">
        <v>82</v>
      </c>
      <c r="C5" t="s">
        <v>83</v>
      </c>
      <c r="D5" t="s">
        <v>84</v>
      </c>
      <c r="E5" t="s">
        <v>81</v>
      </c>
      <c r="F5" t="s">
        <v>82</v>
      </c>
      <c r="G5" t="s">
        <v>83</v>
      </c>
      <c r="H5" t="s">
        <v>84</v>
      </c>
      <c r="I5" t="s">
        <v>81</v>
      </c>
      <c r="J5" t="s">
        <v>82</v>
      </c>
      <c r="K5" t="s">
        <v>83</v>
      </c>
      <c r="L5" t="s">
        <v>84</v>
      </c>
      <c r="M5" t="s">
        <v>81</v>
      </c>
      <c r="N5" t="s">
        <v>82</v>
      </c>
    </row>
    <row r="7" spans="1:14" x14ac:dyDescent="0.35">
      <c r="A7" t="s">
        <v>156</v>
      </c>
      <c r="B7">
        <v>20</v>
      </c>
      <c r="C7">
        <v>21</v>
      </c>
      <c r="D7">
        <v>23</v>
      </c>
      <c r="E7">
        <v>24</v>
      </c>
      <c r="F7">
        <v>25</v>
      </c>
      <c r="G7">
        <v>26</v>
      </c>
      <c r="H7">
        <v>26</v>
      </c>
      <c r="I7">
        <v>28</v>
      </c>
      <c r="J7">
        <v>28</v>
      </c>
      <c r="K7">
        <v>28</v>
      </c>
      <c r="L7">
        <v>28</v>
      </c>
      <c r="M7">
        <v>28</v>
      </c>
      <c r="N7">
        <v>28</v>
      </c>
    </row>
    <row r="8" spans="1:14" x14ac:dyDescent="0.35">
      <c r="A8" t="s">
        <v>150</v>
      </c>
      <c r="B8" s="3">
        <f>B$7/$B$7</f>
        <v>1</v>
      </c>
      <c r="C8" s="3">
        <f t="shared" ref="C8:N8" si="0">C$7/$B$7</f>
        <v>1.05</v>
      </c>
      <c r="D8" s="3">
        <f t="shared" si="0"/>
        <v>1.1499999999999999</v>
      </c>
      <c r="E8" s="3">
        <f t="shared" si="0"/>
        <v>1.2</v>
      </c>
      <c r="F8" s="3">
        <f t="shared" si="0"/>
        <v>1.25</v>
      </c>
      <c r="G8" s="3">
        <f t="shared" si="0"/>
        <v>1.3</v>
      </c>
      <c r="H8" s="3">
        <f t="shared" si="0"/>
        <v>1.3</v>
      </c>
      <c r="I8" s="3">
        <f t="shared" si="0"/>
        <v>1.4</v>
      </c>
      <c r="J8" s="3">
        <f t="shared" si="0"/>
        <v>1.4</v>
      </c>
      <c r="K8" s="3">
        <f t="shared" si="0"/>
        <v>1.4</v>
      </c>
      <c r="L8" s="3">
        <f t="shared" si="0"/>
        <v>1.4</v>
      </c>
      <c r="M8" s="3">
        <f t="shared" si="0"/>
        <v>1.4</v>
      </c>
      <c r="N8" s="3">
        <f t="shared" si="0"/>
        <v>1.4</v>
      </c>
    </row>
    <row r="9" spans="1:14" x14ac:dyDescent="0.35">
      <c r="A9" t="s">
        <v>245</v>
      </c>
      <c r="B9">
        <v>11</v>
      </c>
      <c r="C9">
        <v>11</v>
      </c>
      <c r="D9">
        <v>8</v>
      </c>
      <c r="E9">
        <v>8</v>
      </c>
      <c r="F9">
        <v>8</v>
      </c>
      <c r="G9">
        <v>8</v>
      </c>
      <c r="H9">
        <v>7</v>
      </c>
      <c r="I9">
        <v>7</v>
      </c>
      <c r="J9">
        <v>7</v>
      </c>
      <c r="K9">
        <v>7</v>
      </c>
      <c r="L9">
        <v>7</v>
      </c>
      <c r="M9">
        <v>7</v>
      </c>
      <c r="N9">
        <v>7</v>
      </c>
    </row>
    <row r="10" spans="1:14" x14ac:dyDescent="0.35">
      <c r="A10" t="s">
        <v>150</v>
      </c>
      <c r="B10" s="3">
        <f>B$9/$B$9</f>
        <v>1</v>
      </c>
      <c r="C10" s="3">
        <f>C$9/$B$9</f>
        <v>1</v>
      </c>
      <c r="D10" s="3">
        <f t="shared" ref="D10:N10" si="1">D$9/$B$9</f>
        <v>0.72727272727272729</v>
      </c>
      <c r="E10" s="3">
        <f t="shared" si="1"/>
        <v>0.72727272727272729</v>
      </c>
      <c r="F10" s="3">
        <f t="shared" si="1"/>
        <v>0.72727272727272729</v>
      </c>
      <c r="G10" s="3">
        <f t="shared" si="1"/>
        <v>0.72727272727272729</v>
      </c>
      <c r="H10" s="3">
        <f t="shared" si="1"/>
        <v>0.63636363636363635</v>
      </c>
      <c r="I10" s="3">
        <f t="shared" si="1"/>
        <v>0.63636363636363635</v>
      </c>
      <c r="J10" s="3">
        <f t="shared" si="1"/>
        <v>0.63636363636363635</v>
      </c>
      <c r="K10" s="3">
        <f t="shared" si="1"/>
        <v>0.63636363636363635</v>
      </c>
      <c r="L10" s="3">
        <f t="shared" si="1"/>
        <v>0.63636363636363635</v>
      </c>
      <c r="M10" s="3">
        <f t="shared" si="1"/>
        <v>0.63636363636363635</v>
      </c>
      <c r="N10" s="3">
        <f t="shared" si="1"/>
        <v>0.63636363636363635</v>
      </c>
    </row>
    <row r="11" spans="1:14" x14ac:dyDescent="0.35">
      <c r="A11" t="s">
        <v>159</v>
      </c>
      <c r="B11">
        <f>B7+B9</f>
        <v>31</v>
      </c>
      <c r="C11">
        <f t="shared" ref="C11:N11" si="2">C7+C9</f>
        <v>32</v>
      </c>
      <c r="D11">
        <f t="shared" si="2"/>
        <v>31</v>
      </c>
      <c r="E11">
        <f t="shared" si="2"/>
        <v>32</v>
      </c>
      <c r="F11">
        <f t="shared" si="2"/>
        <v>33</v>
      </c>
      <c r="G11">
        <f t="shared" si="2"/>
        <v>34</v>
      </c>
      <c r="H11">
        <f t="shared" si="2"/>
        <v>33</v>
      </c>
      <c r="I11">
        <f t="shared" si="2"/>
        <v>35</v>
      </c>
      <c r="J11">
        <f t="shared" si="2"/>
        <v>35</v>
      </c>
      <c r="K11">
        <f t="shared" si="2"/>
        <v>35</v>
      </c>
      <c r="L11">
        <f t="shared" si="2"/>
        <v>35</v>
      </c>
      <c r="M11">
        <f t="shared" si="2"/>
        <v>35</v>
      </c>
      <c r="N11">
        <f t="shared" si="2"/>
        <v>35</v>
      </c>
    </row>
    <row r="12" spans="1:14" x14ac:dyDescent="0.35">
      <c r="A12" t="s">
        <v>150</v>
      </c>
      <c r="B12" s="3">
        <f t="shared" ref="B12:N12" si="3">B$11/$B$11</f>
        <v>1</v>
      </c>
      <c r="C12" s="3">
        <f t="shared" si="3"/>
        <v>1.032258064516129</v>
      </c>
      <c r="D12" s="3">
        <f t="shared" si="3"/>
        <v>1</v>
      </c>
      <c r="E12" s="3">
        <f t="shared" si="3"/>
        <v>1.032258064516129</v>
      </c>
      <c r="F12" s="3">
        <f t="shared" si="3"/>
        <v>1.064516129032258</v>
      </c>
      <c r="G12" s="3">
        <f t="shared" si="3"/>
        <v>1.096774193548387</v>
      </c>
      <c r="H12" s="3">
        <f t="shared" si="3"/>
        <v>1.064516129032258</v>
      </c>
      <c r="I12" s="3">
        <f t="shared" si="3"/>
        <v>1.1290322580645162</v>
      </c>
      <c r="J12" s="3">
        <f t="shared" si="3"/>
        <v>1.1290322580645162</v>
      </c>
      <c r="K12" s="3">
        <f t="shared" si="3"/>
        <v>1.1290322580645162</v>
      </c>
      <c r="L12" s="3">
        <f t="shared" si="3"/>
        <v>1.1290322580645162</v>
      </c>
      <c r="M12" s="3">
        <f t="shared" si="3"/>
        <v>1.1290322580645162</v>
      </c>
      <c r="N12" s="3">
        <f t="shared" si="3"/>
        <v>1.1290322580645162</v>
      </c>
    </row>
    <row r="13" spans="1:14" x14ac:dyDescent="0.35">
      <c r="A13" t="s">
        <v>158</v>
      </c>
      <c r="B13">
        <v>5</v>
      </c>
      <c r="C13">
        <v>5</v>
      </c>
      <c r="D13">
        <v>5</v>
      </c>
      <c r="E13">
        <v>5</v>
      </c>
      <c r="F13">
        <v>5</v>
      </c>
      <c r="G13">
        <v>5</v>
      </c>
      <c r="H13">
        <v>5</v>
      </c>
      <c r="I13">
        <v>5</v>
      </c>
      <c r="J13">
        <v>5</v>
      </c>
      <c r="K13">
        <v>5</v>
      </c>
      <c r="L13">
        <v>5</v>
      </c>
      <c r="M13">
        <v>5</v>
      </c>
      <c r="N13">
        <v>5</v>
      </c>
    </row>
    <row r="14" spans="1:14" x14ac:dyDescent="0.35">
      <c r="A14" t="s">
        <v>150</v>
      </c>
      <c r="B14" s="3">
        <v>1</v>
      </c>
      <c r="C14" s="3">
        <v>1</v>
      </c>
      <c r="D14" s="3">
        <v>1</v>
      </c>
      <c r="E14" s="3">
        <v>1</v>
      </c>
      <c r="F14" s="3">
        <v>1</v>
      </c>
      <c r="G14" s="3">
        <v>1</v>
      </c>
      <c r="H14" s="3">
        <v>1</v>
      </c>
      <c r="I14" s="3">
        <v>1</v>
      </c>
      <c r="J14" s="3">
        <v>1</v>
      </c>
      <c r="K14" s="3">
        <v>1</v>
      </c>
      <c r="L14" s="3">
        <v>1</v>
      </c>
      <c r="M14" s="3">
        <v>1</v>
      </c>
      <c r="N14" s="3">
        <v>1</v>
      </c>
    </row>
    <row r="15" spans="1:14" x14ac:dyDescent="0.35">
      <c r="A15" t="s">
        <v>170</v>
      </c>
      <c r="B15">
        <f>B11+B13</f>
        <v>36</v>
      </c>
      <c r="C15">
        <f t="shared" ref="C15:N15" si="4">C11+C13</f>
        <v>37</v>
      </c>
      <c r="D15">
        <f t="shared" si="4"/>
        <v>36</v>
      </c>
      <c r="E15">
        <f t="shared" si="4"/>
        <v>37</v>
      </c>
      <c r="F15">
        <f t="shared" si="4"/>
        <v>38</v>
      </c>
      <c r="G15">
        <f t="shared" si="4"/>
        <v>39</v>
      </c>
      <c r="H15">
        <f t="shared" si="4"/>
        <v>38</v>
      </c>
      <c r="I15">
        <f t="shared" si="4"/>
        <v>40</v>
      </c>
      <c r="J15">
        <f t="shared" si="4"/>
        <v>40</v>
      </c>
      <c r="K15">
        <f t="shared" si="4"/>
        <v>40</v>
      </c>
      <c r="L15">
        <f t="shared" si="4"/>
        <v>40</v>
      </c>
      <c r="M15">
        <f t="shared" si="4"/>
        <v>40</v>
      </c>
      <c r="N15">
        <f t="shared" si="4"/>
        <v>40</v>
      </c>
    </row>
    <row r="16" spans="1:14" x14ac:dyDescent="0.35">
      <c r="A16" t="s">
        <v>150</v>
      </c>
      <c r="B16" s="3">
        <f t="shared" ref="B16:N16" si="5">B$15/$B$15</f>
        <v>1</v>
      </c>
      <c r="C16" s="3">
        <f t="shared" si="5"/>
        <v>1.0277777777777777</v>
      </c>
      <c r="D16" s="3">
        <f t="shared" si="5"/>
        <v>1</v>
      </c>
      <c r="E16" s="3">
        <f t="shared" si="5"/>
        <v>1.0277777777777777</v>
      </c>
      <c r="F16" s="3">
        <f t="shared" si="5"/>
        <v>1.0555555555555556</v>
      </c>
      <c r="G16" s="3">
        <f t="shared" si="5"/>
        <v>1.0833333333333333</v>
      </c>
      <c r="H16" s="3">
        <f t="shared" si="5"/>
        <v>1.0555555555555556</v>
      </c>
      <c r="I16" s="3">
        <f t="shared" si="5"/>
        <v>1.1111111111111112</v>
      </c>
      <c r="J16" s="3">
        <f t="shared" si="5"/>
        <v>1.1111111111111112</v>
      </c>
      <c r="K16" s="3">
        <f t="shared" si="5"/>
        <v>1.1111111111111112</v>
      </c>
      <c r="L16" s="3">
        <f t="shared" si="5"/>
        <v>1.1111111111111112</v>
      </c>
      <c r="M16" s="3">
        <f t="shared" si="5"/>
        <v>1.1111111111111112</v>
      </c>
      <c r="N16" s="3">
        <f t="shared" si="5"/>
        <v>1.1111111111111112</v>
      </c>
    </row>
    <row r="18" spans="1:14" x14ac:dyDescent="0.35">
      <c r="A18" s="1" t="s">
        <v>0</v>
      </c>
    </row>
    <row r="19" spans="1:14" x14ac:dyDescent="0.35">
      <c r="A19" s="1" t="s">
        <v>226</v>
      </c>
      <c r="B19">
        <v>37.1</v>
      </c>
      <c r="C19">
        <v>35.5</v>
      </c>
      <c r="D19">
        <v>35.5</v>
      </c>
      <c r="E19">
        <v>35.5</v>
      </c>
      <c r="F19">
        <v>35.5</v>
      </c>
      <c r="G19">
        <v>34</v>
      </c>
      <c r="H19">
        <v>34</v>
      </c>
      <c r="I19">
        <v>34</v>
      </c>
      <c r="J19">
        <v>34</v>
      </c>
      <c r="K19">
        <v>34</v>
      </c>
      <c r="L19">
        <v>34</v>
      </c>
      <c r="M19">
        <v>34</v>
      </c>
      <c r="N19">
        <v>34</v>
      </c>
    </row>
    <row r="20" spans="1:14" x14ac:dyDescent="0.35">
      <c r="A20" t="s">
        <v>203</v>
      </c>
      <c r="B20" s="2">
        <f t="shared" ref="B20:N20" si="6">B19-B36</f>
        <v>54.1</v>
      </c>
      <c r="C20" s="2">
        <f t="shared" si="6"/>
        <v>52.584999999999994</v>
      </c>
      <c r="D20" s="2">
        <f t="shared" si="6"/>
        <v>52.670424999999994</v>
      </c>
      <c r="E20" s="2">
        <f t="shared" si="6"/>
        <v>52.756277124999997</v>
      </c>
      <c r="F20" s="2">
        <f t="shared" si="6"/>
        <v>52.84255851062499</v>
      </c>
      <c r="G20" s="2">
        <f>G19-G36</f>
        <v>51.429271303178112</v>
      </c>
      <c r="H20" s="2">
        <f t="shared" si="6"/>
        <v>51.516417659694</v>
      </c>
      <c r="I20" s="2">
        <f t="shared" si="6"/>
        <v>51.603999747992468</v>
      </c>
      <c r="J20" s="2">
        <f t="shared" si="6"/>
        <v>51.692019746732427</v>
      </c>
      <c r="K20" s="2">
        <f t="shared" si="6"/>
        <v>51.78047984546609</v>
      </c>
      <c r="L20" s="2">
        <f t="shared" si="6"/>
        <v>51.869382244693412</v>
      </c>
      <c r="M20" s="2">
        <f t="shared" si="6"/>
        <v>51.958729155916885</v>
      </c>
      <c r="N20" s="2">
        <f t="shared" si="6"/>
        <v>52.048522801696464</v>
      </c>
    </row>
    <row r="21" spans="1:14" x14ac:dyDescent="0.35">
      <c r="A21" t="s">
        <v>201</v>
      </c>
      <c r="B21">
        <v>0.36</v>
      </c>
      <c r="C21">
        <v>0.52</v>
      </c>
      <c r="D21">
        <v>0.52</v>
      </c>
      <c r="E21">
        <v>0.52</v>
      </c>
      <c r="F21">
        <v>0.52</v>
      </c>
      <c r="G21">
        <v>0.37</v>
      </c>
      <c r="H21">
        <v>0.37</v>
      </c>
      <c r="I21">
        <v>0.37</v>
      </c>
      <c r="J21">
        <v>0.37</v>
      </c>
      <c r="K21">
        <v>0.35</v>
      </c>
      <c r="L21">
        <v>0.35</v>
      </c>
      <c r="M21">
        <v>0.35</v>
      </c>
      <c r="N21">
        <v>0.35</v>
      </c>
    </row>
    <row r="22" spans="1:14" x14ac:dyDescent="0.35">
      <c r="A22" t="s">
        <v>202</v>
      </c>
      <c r="B22">
        <v>66</v>
      </c>
      <c r="C22">
        <v>83</v>
      </c>
      <c r="D22">
        <v>83</v>
      </c>
      <c r="E22">
        <v>83</v>
      </c>
      <c r="F22">
        <v>83</v>
      </c>
      <c r="G22">
        <v>48</v>
      </c>
      <c r="H22">
        <v>48</v>
      </c>
      <c r="I22">
        <v>48</v>
      </c>
      <c r="J22">
        <v>48</v>
      </c>
      <c r="K22">
        <v>48</v>
      </c>
      <c r="L22">
        <v>48</v>
      </c>
      <c r="M22">
        <v>48</v>
      </c>
      <c r="N22">
        <v>48</v>
      </c>
    </row>
    <row r="23" spans="1:14" x14ac:dyDescent="0.35">
      <c r="A23" s="1" t="s">
        <v>227</v>
      </c>
      <c r="B23" s="2">
        <f t="shared" ref="B23:N23" si="7">B22+B36</f>
        <v>49</v>
      </c>
      <c r="C23" s="2">
        <f t="shared" si="7"/>
        <v>65.915000000000006</v>
      </c>
      <c r="D23" s="2">
        <f t="shared" si="7"/>
        <v>65.829575000000006</v>
      </c>
      <c r="E23" s="2">
        <f t="shared" si="7"/>
        <v>65.743722875000003</v>
      </c>
      <c r="F23" s="2">
        <f t="shared" si="7"/>
        <v>65.657441489375003</v>
      </c>
      <c r="G23" s="2">
        <f>G22+G36</f>
        <v>30.570728696821888</v>
      </c>
      <c r="H23" s="2">
        <f t="shared" si="7"/>
        <v>30.483582340306</v>
      </c>
      <c r="I23" s="2">
        <f t="shared" si="7"/>
        <v>30.396000252007532</v>
      </c>
      <c r="J23" s="2">
        <f t="shared" si="7"/>
        <v>30.307980253267573</v>
      </c>
      <c r="K23" s="2">
        <f t="shared" si="7"/>
        <v>30.219520154533914</v>
      </c>
      <c r="L23" s="2">
        <f t="shared" si="7"/>
        <v>30.130617755306584</v>
      </c>
      <c r="M23" s="2">
        <f t="shared" si="7"/>
        <v>30.041270844083119</v>
      </c>
      <c r="N23" s="2">
        <f t="shared" si="7"/>
        <v>29.951477198303536</v>
      </c>
    </row>
    <row r="24" spans="1:14" x14ac:dyDescent="0.35">
      <c r="A24" t="s">
        <v>201</v>
      </c>
      <c r="B24">
        <f t="shared" ref="B24:N24" si="8">1-B$21</f>
        <v>0.64</v>
      </c>
      <c r="C24">
        <f t="shared" si="8"/>
        <v>0.48</v>
      </c>
      <c r="D24">
        <f t="shared" si="8"/>
        <v>0.48</v>
      </c>
      <c r="E24">
        <f t="shared" si="8"/>
        <v>0.48</v>
      </c>
      <c r="F24">
        <f t="shared" si="8"/>
        <v>0.48</v>
      </c>
      <c r="G24">
        <f t="shared" si="8"/>
        <v>0.63</v>
      </c>
      <c r="H24">
        <f t="shared" si="8"/>
        <v>0.63</v>
      </c>
      <c r="I24">
        <f t="shared" si="8"/>
        <v>0.63</v>
      </c>
      <c r="J24">
        <f t="shared" si="8"/>
        <v>0.63</v>
      </c>
      <c r="K24">
        <f t="shared" si="8"/>
        <v>0.65</v>
      </c>
      <c r="L24">
        <f t="shared" si="8"/>
        <v>0.65</v>
      </c>
      <c r="M24">
        <f t="shared" si="8"/>
        <v>0.65</v>
      </c>
      <c r="N24">
        <f t="shared" si="8"/>
        <v>0.65</v>
      </c>
    </row>
    <row r="25" spans="1:14" x14ac:dyDescent="0.35">
      <c r="A25" t="s">
        <v>204</v>
      </c>
      <c r="B25" s="2">
        <f t="shared" ref="B25:N25" si="9">(B20*B21)+(B22*B24)</f>
        <v>61.716000000000001</v>
      </c>
      <c r="C25" s="2">
        <f t="shared" si="9"/>
        <v>67.18419999999999</v>
      </c>
      <c r="D25" s="2">
        <f t="shared" si="9"/>
        <v>67.22862099999999</v>
      </c>
      <c r="E25" s="2">
        <f t="shared" si="9"/>
        <v>67.273264104999996</v>
      </c>
      <c r="F25" s="2">
        <f t="shared" si="9"/>
        <v>67.318130425524998</v>
      </c>
      <c r="G25" s="2">
        <f>(G20*G21)+(G22*G24)</f>
        <v>49.268830382175906</v>
      </c>
      <c r="H25" s="2">
        <f>(H20*H21)+(H22*H24)</f>
        <v>49.30107453408678</v>
      </c>
      <c r="I25" s="2">
        <f t="shared" si="9"/>
        <v>49.333479906757219</v>
      </c>
      <c r="J25" s="2">
        <f t="shared" si="9"/>
        <v>49.366047306291001</v>
      </c>
      <c r="K25" s="2">
        <f t="shared" si="9"/>
        <v>49.323167945913134</v>
      </c>
      <c r="L25" s="2">
        <f t="shared" si="9"/>
        <v>49.354283785642693</v>
      </c>
      <c r="M25" s="2">
        <f t="shared" si="9"/>
        <v>49.385555204570906</v>
      </c>
      <c r="N25" s="2">
        <f t="shared" si="9"/>
        <v>49.416982980593765</v>
      </c>
    </row>
    <row r="26" spans="1:14" x14ac:dyDescent="0.35">
      <c r="A26" s="1" t="s">
        <v>228</v>
      </c>
      <c r="B26" s="2">
        <f>(B19*B21)+(B23*B24)</f>
        <v>44.716000000000001</v>
      </c>
      <c r="C26" s="2">
        <f t="shared" ref="C26:N26" si="10">(C19*C21)+(C23*C24)</f>
        <v>50.099200000000003</v>
      </c>
      <c r="D26" s="2">
        <f t="shared" si="10"/>
        <v>50.058196000000002</v>
      </c>
      <c r="E26" s="2">
        <f t="shared" si="10"/>
        <v>50.016986979999999</v>
      </c>
      <c r="F26" s="2">
        <f t="shared" si="10"/>
        <v>49.975571914900002</v>
      </c>
      <c r="G26" s="2">
        <f t="shared" si="10"/>
        <v>31.839559078997787</v>
      </c>
      <c r="H26" s="2">
        <f>(H19*H21)+(H23*H24)</f>
        <v>31.78465687439278</v>
      </c>
      <c r="I26" s="2">
        <f t="shared" si="10"/>
        <v>31.729480158764744</v>
      </c>
      <c r="J26" s="2">
        <f t="shared" si="10"/>
        <v>31.674027559558574</v>
      </c>
      <c r="K26" s="2">
        <f t="shared" si="10"/>
        <v>31.542688100447045</v>
      </c>
      <c r="L26" s="2">
        <f t="shared" si="10"/>
        <v>31.484901540949281</v>
      </c>
      <c r="M26" s="2">
        <f t="shared" si="10"/>
        <v>31.426826048654025</v>
      </c>
      <c r="N26" s="2">
        <f t="shared" si="10"/>
        <v>31.368460178897298</v>
      </c>
    </row>
    <row r="27" spans="1:14" x14ac:dyDescent="0.35">
      <c r="A27" s="1" t="s">
        <v>232</v>
      </c>
      <c r="B27" s="3">
        <v>0.98</v>
      </c>
      <c r="C27" s="3">
        <v>0.98</v>
      </c>
      <c r="D27" s="3">
        <v>0.98</v>
      </c>
      <c r="E27" s="3">
        <v>0.98</v>
      </c>
      <c r="F27" s="3">
        <v>0.98</v>
      </c>
      <c r="G27" s="3">
        <v>0.92</v>
      </c>
      <c r="H27" s="3">
        <v>0.92</v>
      </c>
      <c r="I27" s="3">
        <v>0.92</v>
      </c>
      <c r="J27" s="3">
        <v>0.92</v>
      </c>
      <c r="K27" s="3">
        <v>0.92</v>
      </c>
      <c r="L27" s="3">
        <v>0.92</v>
      </c>
      <c r="M27" s="3">
        <v>0.92</v>
      </c>
      <c r="N27" s="3">
        <v>0.92</v>
      </c>
    </row>
    <row r="28" spans="1:14" x14ac:dyDescent="0.35">
      <c r="A28" t="s">
        <v>161</v>
      </c>
      <c r="B28" s="2">
        <f>(B$25*B$11)*$B$1/1000*B27</f>
        <v>168.74388720000002</v>
      </c>
      <c r="C28" s="2">
        <f t="shared" ref="C28:N28" si="11">(C$25*C$11)*$B$1/1000*C27</f>
        <v>189.62068607999998</v>
      </c>
      <c r="D28" s="2">
        <f t="shared" si="11"/>
        <v>183.81649553819997</v>
      </c>
      <c r="E28" s="2">
        <f t="shared" si="11"/>
        <v>189.872060609952</v>
      </c>
      <c r="F28" s="2">
        <f t="shared" si="11"/>
        <v>195.93615041653305</v>
      </c>
      <c r="G28" s="2">
        <f>G$25*G$11*$B$1/1000*G27</f>
        <v>138.70161129190163</v>
      </c>
      <c r="H28" s="2">
        <f t="shared" si="11"/>
        <v>134.7102560569387</v>
      </c>
      <c r="I28" s="2">
        <f>(I$25*I$11)*$B$1/1000*I27</f>
        <v>142.96842476978244</v>
      </c>
      <c r="J28" s="2">
        <f t="shared" si="11"/>
        <v>143.06280509363131</v>
      </c>
      <c r="K28" s="2">
        <f t="shared" si="11"/>
        <v>142.93854070725627</v>
      </c>
      <c r="L28" s="2">
        <f t="shared" si="11"/>
        <v>143.02871441079253</v>
      </c>
      <c r="M28" s="2">
        <f t="shared" si="11"/>
        <v>143.1193389828465</v>
      </c>
      <c r="N28" s="2">
        <f t="shared" si="11"/>
        <v>143.21041667776075</v>
      </c>
    </row>
    <row r="29" spans="1:14" x14ac:dyDescent="0.35">
      <c r="A29" t="s">
        <v>229</v>
      </c>
      <c r="B29">
        <v>44</v>
      </c>
      <c r="C29">
        <v>46</v>
      </c>
      <c r="D29">
        <v>46</v>
      </c>
      <c r="E29">
        <v>46</v>
      </c>
      <c r="F29">
        <v>46</v>
      </c>
      <c r="G29">
        <v>37</v>
      </c>
      <c r="H29">
        <v>37</v>
      </c>
      <c r="I29">
        <v>37</v>
      </c>
      <c r="J29">
        <v>37</v>
      </c>
      <c r="K29">
        <v>37</v>
      </c>
      <c r="L29">
        <v>37</v>
      </c>
      <c r="M29">
        <v>37</v>
      </c>
      <c r="N29">
        <v>37</v>
      </c>
    </row>
    <row r="30" spans="1:14" x14ac:dyDescent="0.35">
      <c r="A30" s="1" t="s">
        <v>225</v>
      </c>
      <c r="B30" s="8">
        <f t="shared" ref="B30:N30" si="12">B29+B38</f>
        <v>32.6</v>
      </c>
      <c r="C30" s="8">
        <f t="shared" si="12"/>
        <v>34.542999999999999</v>
      </c>
      <c r="D30" s="8">
        <f t="shared" si="12"/>
        <v>34.485714999999999</v>
      </c>
      <c r="E30" s="8">
        <f t="shared" si="12"/>
        <v>34.428143575000007</v>
      </c>
      <c r="F30" s="8">
        <f t="shared" si="12"/>
        <v>34.370284292875006</v>
      </c>
      <c r="G30" s="8">
        <f t="shared" si="12"/>
        <v>25.31213571433938</v>
      </c>
      <c r="H30" s="8">
        <f t="shared" si="12"/>
        <v>25.253696392911078</v>
      </c>
      <c r="I30" s="8">
        <f t="shared" si="12"/>
        <v>25.194964874875634</v>
      </c>
      <c r="J30" s="8">
        <f t="shared" si="12"/>
        <v>25.135939699250013</v>
      </c>
      <c r="K30" s="8">
        <f t="shared" si="12"/>
        <v>25.076619397746263</v>
      </c>
      <c r="L30" s="8">
        <f t="shared" si="12"/>
        <v>25.017002494734996</v>
      </c>
      <c r="M30" s="8">
        <f t="shared" si="12"/>
        <v>24.957087507208676</v>
      </c>
      <c r="N30" s="8">
        <f t="shared" si="12"/>
        <v>24.896872944744722</v>
      </c>
    </row>
    <row r="31" spans="1:14" x14ac:dyDescent="0.35">
      <c r="A31" s="1" t="s">
        <v>232</v>
      </c>
      <c r="B31" s="3">
        <v>1</v>
      </c>
      <c r="C31" s="3">
        <v>1</v>
      </c>
      <c r="D31" s="3">
        <v>1</v>
      </c>
      <c r="E31" s="3">
        <v>1</v>
      </c>
      <c r="F31" s="3">
        <v>1</v>
      </c>
      <c r="G31" s="3">
        <v>0.95</v>
      </c>
      <c r="H31" s="3">
        <v>0.95</v>
      </c>
      <c r="I31" s="3">
        <v>0.95</v>
      </c>
      <c r="J31" s="3">
        <v>0.95</v>
      </c>
      <c r="K31" s="3">
        <v>0.95</v>
      </c>
      <c r="L31" s="3">
        <v>0.95</v>
      </c>
      <c r="M31" s="3">
        <v>0.95</v>
      </c>
      <c r="N31" s="3">
        <v>0.95</v>
      </c>
    </row>
    <row r="32" spans="1:14" x14ac:dyDescent="0.35">
      <c r="A32" t="s">
        <v>162</v>
      </c>
      <c r="B32">
        <f t="shared" ref="B32:N32" si="13">(B$29*B$13)*$B$1/1000</f>
        <v>19.8</v>
      </c>
      <c r="C32">
        <f t="shared" si="13"/>
        <v>20.7</v>
      </c>
      <c r="D32">
        <f t="shared" si="13"/>
        <v>20.7</v>
      </c>
      <c r="E32">
        <f t="shared" si="13"/>
        <v>20.7</v>
      </c>
      <c r="F32">
        <f t="shared" si="13"/>
        <v>20.7</v>
      </c>
      <c r="G32">
        <f t="shared" si="13"/>
        <v>16.649999999999999</v>
      </c>
      <c r="H32">
        <f t="shared" si="13"/>
        <v>16.649999999999999</v>
      </c>
      <c r="I32">
        <f t="shared" si="13"/>
        <v>16.649999999999999</v>
      </c>
      <c r="J32">
        <f t="shared" si="13"/>
        <v>16.649999999999999</v>
      </c>
      <c r="K32">
        <f t="shared" si="13"/>
        <v>16.649999999999999</v>
      </c>
      <c r="L32">
        <f t="shared" si="13"/>
        <v>16.649999999999999</v>
      </c>
      <c r="M32">
        <f t="shared" si="13"/>
        <v>16.649999999999999</v>
      </c>
      <c r="N32">
        <f t="shared" si="13"/>
        <v>16.649999999999999</v>
      </c>
    </row>
    <row r="33" spans="1:14" x14ac:dyDescent="0.35">
      <c r="A33" s="1" t="s">
        <v>149</v>
      </c>
      <c r="B33" s="2">
        <f t="shared" ref="B33:N33" si="14">B28+B32</f>
        <v>188.54388720000003</v>
      </c>
      <c r="C33" s="2">
        <f t="shared" si="14"/>
        <v>210.32068607999997</v>
      </c>
      <c r="D33" s="2">
        <f t="shared" si="14"/>
        <v>204.51649553819996</v>
      </c>
      <c r="E33" s="2">
        <f t="shared" si="14"/>
        <v>210.57206060995199</v>
      </c>
      <c r="F33" s="2">
        <f t="shared" si="14"/>
        <v>216.63615041653304</v>
      </c>
      <c r="G33" s="2">
        <f>G28+G32</f>
        <v>155.35161129190163</v>
      </c>
      <c r="H33" s="2">
        <f t="shared" si="14"/>
        <v>151.36025605693871</v>
      </c>
      <c r="I33" s="2">
        <f t="shared" si="14"/>
        <v>159.61842476978245</v>
      </c>
      <c r="J33" s="2">
        <f t="shared" si="14"/>
        <v>159.71280509363132</v>
      </c>
      <c r="K33" s="2">
        <f t="shared" si="14"/>
        <v>159.58854070725627</v>
      </c>
      <c r="L33" s="2">
        <f t="shared" si="14"/>
        <v>159.67871441079254</v>
      </c>
      <c r="M33" s="2">
        <f t="shared" si="14"/>
        <v>159.76933898284651</v>
      </c>
      <c r="N33" s="2">
        <f t="shared" si="14"/>
        <v>159.86041667776075</v>
      </c>
    </row>
    <row r="35" spans="1:14" x14ac:dyDescent="0.35">
      <c r="A35" s="1" t="s">
        <v>2</v>
      </c>
    </row>
    <row r="36" spans="1:14" x14ac:dyDescent="0.35">
      <c r="A36" t="s">
        <v>160</v>
      </c>
      <c r="B36" s="2">
        <v>-17</v>
      </c>
      <c r="C36" s="2">
        <f>B36*$B$2</f>
        <v>-17.084999999999997</v>
      </c>
      <c r="D36" s="2">
        <f t="shared" ref="D36:N36" si="15">C36*$B$2</f>
        <v>-17.170424999999994</v>
      </c>
      <c r="E36" s="2">
        <f t="shared" si="15"/>
        <v>-17.256277124999993</v>
      </c>
      <c r="F36" s="2">
        <f>E36*$B$2</f>
        <v>-17.34255851062499</v>
      </c>
      <c r="G36" s="2">
        <f t="shared" si="15"/>
        <v>-17.429271303178112</v>
      </c>
      <c r="H36" s="2">
        <f t="shared" si="15"/>
        <v>-17.516417659694</v>
      </c>
      <c r="I36" s="2">
        <f t="shared" si="15"/>
        <v>-17.603999747992468</v>
      </c>
      <c r="J36" s="2">
        <f t="shared" si="15"/>
        <v>-17.692019746732427</v>
      </c>
      <c r="K36" s="2">
        <f t="shared" si="15"/>
        <v>-17.780479845466086</v>
      </c>
      <c r="L36" s="2">
        <f t="shared" si="15"/>
        <v>-17.869382244693416</v>
      </c>
      <c r="M36" s="2">
        <f t="shared" si="15"/>
        <v>-17.958729155916881</v>
      </c>
      <c r="N36" s="2">
        <f t="shared" si="15"/>
        <v>-18.048522801696464</v>
      </c>
    </row>
    <row r="37" spans="1:14" x14ac:dyDescent="0.35">
      <c r="A37" t="s">
        <v>161</v>
      </c>
      <c r="B37" s="2">
        <f>(B$36*B$11)*$B$1/1000*B27</f>
        <v>-46.481400000000001</v>
      </c>
      <c r="C37" s="2">
        <f t="shared" ref="C37:N37" si="16">(C$36*C$11)*$B$1/1000*C27</f>
        <v>-48.220703999999998</v>
      </c>
      <c r="D37" s="2">
        <f t="shared" si="16"/>
        <v>-46.947376034999984</v>
      </c>
      <c r="E37" s="2">
        <f t="shared" si="16"/>
        <v>-48.704116557599981</v>
      </c>
      <c r="F37" s="2">
        <f t="shared" si="16"/>
        <v>-50.477250801025093</v>
      </c>
      <c r="G37" s="2">
        <f>(G$36*G$11)*$B$1/1000*G27</f>
        <v>-49.066884572707018</v>
      </c>
      <c r="H37" s="2">
        <f t="shared" si="16"/>
        <v>-47.861859613347882</v>
      </c>
      <c r="I37" s="2">
        <f t="shared" si="16"/>
        <v>-51.016391269682174</v>
      </c>
      <c r="J37" s="2">
        <f t="shared" si="16"/>
        <v>-51.271473226030579</v>
      </c>
      <c r="K37" s="2">
        <f t="shared" si="16"/>
        <v>-51.527830592160726</v>
      </c>
      <c r="L37" s="2">
        <f t="shared" si="16"/>
        <v>-51.785469745121517</v>
      </c>
      <c r="M37" s="2">
        <f t="shared" si="16"/>
        <v>-52.044397093847124</v>
      </c>
      <c r="N37" s="2">
        <f t="shared" si="16"/>
        <v>-52.304619079316353</v>
      </c>
    </row>
    <row r="38" spans="1:14" x14ac:dyDescent="0.35">
      <c r="A38" t="s">
        <v>160</v>
      </c>
      <c r="B38" s="2">
        <v>-11.4</v>
      </c>
      <c r="C38" s="2">
        <f>B38*$B$2</f>
        <v>-11.456999999999999</v>
      </c>
      <c r="D38" s="2">
        <f t="shared" ref="D38:N38" si="17">C38*$B$2</f>
        <v>-11.514284999999997</v>
      </c>
      <c r="E38" s="2">
        <f t="shared" si="17"/>
        <v>-11.571856424999996</v>
      </c>
      <c r="F38" s="2">
        <f t="shared" si="17"/>
        <v>-11.629715707124996</v>
      </c>
      <c r="G38" s="2">
        <f t="shared" si="17"/>
        <v>-11.68786428566062</v>
      </c>
      <c r="H38" s="2">
        <f t="shared" si="17"/>
        <v>-11.746303607088922</v>
      </c>
      <c r="I38" s="2">
        <f t="shared" si="17"/>
        <v>-11.805035125124366</v>
      </c>
      <c r="J38" s="2">
        <f t="shared" si="17"/>
        <v>-11.864060300749987</v>
      </c>
      <c r="K38" s="2">
        <f t="shared" si="17"/>
        <v>-11.923380602253735</v>
      </c>
      <c r="L38" s="2">
        <f t="shared" si="17"/>
        <v>-11.982997505265002</v>
      </c>
      <c r="M38" s="2">
        <f t="shared" si="17"/>
        <v>-12.042912492791325</v>
      </c>
      <c r="N38" s="2">
        <f t="shared" si="17"/>
        <v>-12.10312705525528</v>
      </c>
    </row>
    <row r="39" spans="1:14" x14ac:dyDescent="0.35">
      <c r="A39" t="s">
        <v>162</v>
      </c>
      <c r="B39" s="2">
        <f t="shared" ref="B39:N39" si="18">(B$38*B$13)*$B$1/1000*B31</f>
        <v>-5.13</v>
      </c>
      <c r="C39" s="2">
        <f t="shared" si="18"/>
        <v>-5.1556499999999996</v>
      </c>
      <c r="D39" s="2">
        <f t="shared" si="18"/>
        <v>-5.1814282499999988</v>
      </c>
      <c r="E39" s="2">
        <f t="shared" si="18"/>
        <v>-5.2073353912499982</v>
      </c>
      <c r="F39" s="2">
        <f t="shared" si="18"/>
        <v>-5.2333720682062479</v>
      </c>
      <c r="G39" s="2">
        <f t="shared" si="18"/>
        <v>-4.996561982119915</v>
      </c>
      <c r="H39" s="2">
        <f t="shared" si="18"/>
        <v>-5.0215447920305136</v>
      </c>
      <c r="I39" s="2">
        <f t="shared" si="18"/>
        <v>-5.0466525159906661</v>
      </c>
      <c r="J39" s="2">
        <f t="shared" si="18"/>
        <v>-5.0718857785706195</v>
      </c>
      <c r="K39" s="2">
        <f t="shared" si="18"/>
        <v>-5.0972452074634713</v>
      </c>
      <c r="L39" s="2">
        <f t="shared" si="18"/>
        <v>-5.1227314335007881</v>
      </c>
      <c r="M39" s="2">
        <f t="shared" si="18"/>
        <v>-5.1483450906682906</v>
      </c>
      <c r="N39" s="2">
        <f t="shared" si="18"/>
        <v>-5.1740868161216325</v>
      </c>
    </row>
    <row r="40" spans="1:14" x14ac:dyDescent="0.35">
      <c r="A40" s="1" t="s">
        <v>149</v>
      </c>
      <c r="B40" s="2">
        <f>B37+B39</f>
        <v>-51.611400000000003</v>
      </c>
      <c r="C40" s="2">
        <f t="shared" ref="C40:J40" si="19">C37+C39</f>
        <v>-53.376353999999999</v>
      </c>
      <c r="D40" s="2">
        <f t="shared" si="19"/>
        <v>-52.12880428499998</v>
      </c>
      <c r="E40" s="2">
        <f t="shared" si="19"/>
        <v>-53.911451948849979</v>
      </c>
      <c r="F40" s="2">
        <f t="shared" si="19"/>
        <v>-55.710622869231344</v>
      </c>
      <c r="G40" s="2">
        <f t="shared" si="19"/>
        <v>-54.063446554826932</v>
      </c>
      <c r="H40" s="2">
        <f t="shared" si="19"/>
        <v>-52.883404405378393</v>
      </c>
      <c r="I40" s="2">
        <f t="shared" si="19"/>
        <v>-56.063043785672839</v>
      </c>
      <c r="J40" s="2">
        <f t="shared" si="19"/>
        <v>-56.343359004601197</v>
      </c>
      <c r="K40" s="2">
        <f t="shared" ref="K40" si="20">K37+K39</f>
        <v>-56.625075799624199</v>
      </c>
      <c r="L40" s="2">
        <f t="shared" ref="L40" si="21">L37+L39</f>
        <v>-56.908201178622306</v>
      </c>
      <c r="M40" s="2">
        <f t="shared" ref="M40" si="22">M37+M39</f>
        <v>-57.192742184515417</v>
      </c>
      <c r="N40" s="2">
        <f t="shared" ref="N40" si="23">N37+N39</f>
        <v>-57.478705895437983</v>
      </c>
    </row>
    <row r="42" spans="1:14" x14ac:dyDescent="0.35">
      <c r="A42" s="1" t="s">
        <v>85</v>
      </c>
      <c r="K42" s="2"/>
    </row>
    <row r="43" spans="1:14" x14ac:dyDescent="0.35">
      <c r="A43" t="s">
        <v>166</v>
      </c>
      <c r="B43" s="2">
        <v>-25</v>
      </c>
      <c r="C43" s="2">
        <f t="shared" ref="C43:N43" si="24">$B$43*C$10</f>
        <v>-25</v>
      </c>
      <c r="D43" s="2">
        <f t="shared" si="24"/>
        <v>-18.181818181818183</v>
      </c>
      <c r="E43" s="2">
        <f>$B$43*E$10</f>
        <v>-18.181818181818183</v>
      </c>
      <c r="F43" s="2">
        <f t="shared" si="24"/>
        <v>-18.181818181818183</v>
      </c>
      <c r="G43" s="2">
        <f t="shared" si="24"/>
        <v>-18.181818181818183</v>
      </c>
      <c r="H43" s="2">
        <f t="shared" si="24"/>
        <v>-15.909090909090908</v>
      </c>
      <c r="I43" s="2">
        <f t="shared" si="24"/>
        <v>-15.909090909090908</v>
      </c>
      <c r="J43" s="2">
        <f t="shared" si="24"/>
        <v>-15.909090909090908</v>
      </c>
      <c r="K43" s="2">
        <f t="shared" si="24"/>
        <v>-15.909090909090908</v>
      </c>
      <c r="L43" s="2">
        <f t="shared" si="24"/>
        <v>-15.909090909090908</v>
      </c>
      <c r="M43" s="2">
        <f t="shared" si="24"/>
        <v>-15.909090909090908</v>
      </c>
      <c r="N43" s="2">
        <f t="shared" si="24"/>
        <v>-15.909090909090908</v>
      </c>
    </row>
    <row r="44" spans="1:14" x14ac:dyDescent="0.35">
      <c r="A44" t="s">
        <v>167</v>
      </c>
      <c r="B44" s="2">
        <v>-25</v>
      </c>
      <c r="C44" s="2">
        <f t="shared" ref="C44:N44" si="25">B$44*$B$2</f>
        <v>-25.124999999999996</v>
      </c>
      <c r="D44" s="2">
        <f t="shared" si="25"/>
        <v>-25.250624999999992</v>
      </c>
      <c r="E44" s="2">
        <f t="shared" si="25"/>
        <v>-25.37687812499999</v>
      </c>
      <c r="F44" s="2">
        <f t="shared" si="25"/>
        <v>-25.503762515624988</v>
      </c>
      <c r="G44" s="2">
        <f t="shared" si="25"/>
        <v>-25.631281328203109</v>
      </c>
      <c r="H44" s="2">
        <f t="shared" si="25"/>
        <v>-25.75943773484412</v>
      </c>
      <c r="I44" s="2">
        <f t="shared" si="25"/>
        <v>-25.888234923518336</v>
      </c>
      <c r="J44" s="2">
        <f t="shared" si="25"/>
        <v>-26.017676098135926</v>
      </c>
      <c r="K44" s="2">
        <f t="shared" si="25"/>
        <v>-26.147764478626602</v>
      </c>
      <c r="L44" s="2">
        <f t="shared" si="25"/>
        <v>-26.278503301019732</v>
      </c>
      <c r="M44" s="2">
        <f t="shared" si="25"/>
        <v>-26.409895817524827</v>
      </c>
      <c r="N44" s="2">
        <f t="shared" si="25"/>
        <v>-26.541945296612447</v>
      </c>
    </row>
    <row r="45" spans="1:14" x14ac:dyDescent="0.35">
      <c r="A45" t="s">
        <v>246</v>
      </c>
      <c r="C45">
        <v>-22</v>
      </c>
      <c r="D45">
        <v>-22</v>
      </c>
      <c r="E45">
        <v>-22</v>
      </c>
      <c r="F45">
        <v>-22</v>
      </c>
      <c r="G45">
        <v>-22</v>
      </c>
      <c r="H45">
        <v>-22</v>
      </c>
      <c r="I45">
        <v>-22</v>
      </c>
      <c r="J45">
        <v>-22</v>
      </c>
      <c r="K45">
        <v>-22</v>
      </c>
      <c r="L45">
        <v>-22</v>
      </c>
      <c r="M45">
        <v>-22</v>
      </c>
      <c r="N45">
        <v>-22</v>
      </c>
    </row>
    <row r="47" spans="1:14" x14ac:dyDescent="0.35">
      <c r="A47" s="1" t="s">
        <v>4</v>
      </c>
    </row>
    <row r="48" spans="1:14" x14ac:dyDescent="0.35">
      <c r="A48" t="s">
        <v>168</v>
      </c>
      <c r="B48" s="2">
        <v>-6</v>
      </c>
      <c r="C48" s="2">
        <f t="shared" ref="C48:N48" si="26">B$48*$B$2</f>
        <v>-6.0299999999999994</v>
      </c>
      <c r="D48" s="2">
        <f>C$48*$B$2</f>
        <v>-6.0601499999999984</v>
      </c>
      <c r="E48" s="2">
        <f>D$48*$B$2</f>
        <v>-6.0904507499999978</v>
      </c>
      <c r="F48" s="2">
        <f t="shared" si="26"/>
        <v>-6.120903003749997</v>
      </c>
      <c r="G48" s="2">
        <f t="shared" si="26"/>
        <v>-6.1515075187687467</v>
      </c>
      <c r="H48" s="2">
        <f t="shared" si="26"/>
        <v>-6.1822650563625894</v>
      </c>
      <c r="I48" s="2">
        <f t="shared" si="26"/>
        <v>-6.2131763816444021</v>
      </c>
      <c r="J48" s="2">
        <f t="shared" si="26"/>
        <v>-6.2442422635526231</v>
      </c>
      <c r="K48" s="2">
        <f t="shared" si="26"/>
        <v>-6.2754634748703859</v>
      </c>
      <c r="L48" s="2">
        <f t="shared" si="26"/>
        <v>-6.3068407922447376</v>
      </c>
      <c r="M48" s="2">
        <f t="shared" si="26"/>
        <v>-6.3383749962059603</v>
      </c>
      <c r="N48" s="2">
        <f t="shared" si="26"/>
        <v>-6.3700668711869897</v>
      </c>
    </row>
    <row r="49" spans="1:14" x14ac:dyDescent="0.35">
      <c r="A49" t="s">
        <v>169</v>
      </c>
      <c r="B49" s="2">
        <v>-21</v>
      </c>
      <c r="C49" s="2">
        <f>$B$49*C$16*$B$2</f>
        <v>-21.691249999999997</v>
      </c>
      <c r="D49" s="2">
        <f t="shared" ref="D49:N49" si="27">$B$49*D$16*$B$2</f>
        <v>-21.104999999999997</v>
      </c>
      <c r="E49" s="2">
        <f t="shared" si="27"/>
        <v>-21.691249999999997</v>
      </c>
      <c r="F49" s="2">
        <f>$B$49*F$16*$B$2</f>
        <v>-22.2775</v>
      </c>
      <c r="G49" s="2">
        <f t="shared" si="27"/>
        <v>-22.863749999999996</v>
      </c>
      <c r="H49" s="2">
        <f t="shared" si="27"/>
        <v>-22.2775</v>
      </c>
      <c r="I49" s="2">
        <f t="shared" si="27"/>
        <v>-23.45</v>
      </c>
      <c r="J49" s="2">
        <f>$B$49*J$16*$B$2</f>
        <v>-23.45</v>
      </c>
      <c r="K49" s="2">
        <f t="shared" si="27"/>
        <v>-23.45</v>
      </c>
      <c r="L49" s="2">
        <f t="shared" si="27"/>
        <v>-23.45</v>
      </c>
      <c r="M49" s="2">
        <f t="shared" si="27"/>
        <v>-23.45</v>
      </c>
      <c r="N49" s="2">
        <f t="shared" si="27"/>
        <v>-23.45</v>
      </c>
    </row>
    <row r="50" spans="1:14" x14ac:dyDescent="0.35">
      <c r="A50" s="1" t="s">
        <v>149</v>
      </c>
      <c r="B50" s="2">
        <f>B48+B49</f>
        <v>-27</v>
      </c>
      <c r="C50" s="2">
        <f t="shared" ref="C50:J50" si="28">C48+C49</f>
        <v>-27.721249999999998</v>
      </c>
      <c r="D50" s="2">
        <f t="shared" si="28"/>
        <v>-27.165149999999997</v>
      </c>
      <c r="E50" s="2">
        <f t="shared" si="28"/>
        <v>-27.781700749999995</v>
      </c>
      <c r="F50" s="2">
        <f t="shared" si="28"/>
        <v>-28.398403003749998</v>
      </c>
      <c r="G50" s="2">
        <f t="shared" si="28"/>
        <v>-29.015257518768742</v>
      </c>
      <c r="H50" s="2">
        <f t="shared" si="28"/>
        <v>-28.459765056362588</v>
      </c>
      <c r="I50" s="2">
        <f t="shared" si="28"/>
        <v>-29.663176381644401</v>
      </c>
      <c r="J50" s="2">
        <f t="shared" si="28"/>
        <v>-29.694242263552624</v>
      </c>
      <c r="K50" s="2">
        <f t="shared" ref="K50" si="29">K48+K49</f>
        <v>-29.725463474870384</v>
      </c>
      <c r="L50" s="2">
        <f t="shared" ref="L50" si="30">L48+L49</f>
        <v>-29.756840792244738</v>
      </c>
      <c r="M50" s="2">
        <f t="shared" ref="M50" si="31">M48+M49</f>
        <v>-29.78837499620596</v>
      </c>
      <c r="N50" s="2">
        <f t="shared" ref="N50" si="32">N48+N49</f>
        <v>-29.820066871186988</v>
      </c>
    </row>
    <row r="52" spans="1:14" x14ac:dyDescent="0.35">
      <c r="A52" s="1" t="s">
        <v>9</v>
      </c>
    </row>
    <row r="53" spans="1:14" x14ac:dyDescent="0.35">
      <c r="A53" t="s">
        <v>171</v>
      </c>
      <c r="B53" s="9">
        <f t="shared" ref="B53:N53" si="33">-15*B8</f>
        <v>-15</v>
      </c>
      <c r="C53" s="9">
        <f>-15*C8</f>
        <v>-15.75</v>
      </c>
      <c r="D53" s="9">
        <f t="shared" si="33"/>
        <v>-17.25</v>
      </c>
      <c r="E53" s="9">
        <f t="shared" si="33"/>
        <v>-18</v>
      </c>
      <c r="F53" s="9">
        <f t="shared" si="33"/>
        <v>-18.75</v>
      </c>
      <c r="G53" s="9">
        <f t="shared" si="33"/>
        <v>-19.5</v>
      </c>
      <c r="H53" s="9">
        <f t="shared" si="33"/>
        <v>-19.5</v>
      </c>
      <c r="I53">
        <f t="shared" si="33"/>
        <v>-21</v>
      </c>
      <c r="J53">
        <f t="shared" si="33"/>
        <v>-21</v>
      </c>
      <c r="K53">
        <f t="shared" si="33"/>
        <v>-21</v>
      </c>
      <c r="L53">
        <f t="shared" si="33"/>
        <v>-21</v>
      </c>
      <c r="M53">
        <f t="shared" si="33"/>
        <v>-21</v>
      </c>
      <c r="N53">
        <f t="shared" si="33"/>
        <v>-21</v>
      </c>
    </row>
    <row r="54" spans="1:14" x14ac:dyDescent="0.35">
      <c r="A54" t="s">
        <v>157</v>
      </c>
      <c r="B54" s="9">
        <v>-2.6</v>
      </c>
      <c r="C54" s="9">
        <v>-2.6</v>
      </c>
      <c r="D54" s="9">
        <v>-2.6</v>
      </c>
      <c r="E54" s="9">
        <v>-2.6</v>
      </c>
      <c r="F54" s="9">
        <v>-2.6</v>
      </c>
      <c r="G54" s="9">
        <v>-2.6</v>
      </c>
      <c r="H54" s="9">
        <v>-2.6</v>
      </c>
      <c r="I54">
        <v>-2.6</v>
      </c>
      <c r="J54">
        <v>-2.6</v>
      </c>
      <c r="K54">
        <v>-2.6</v>
      </c>
      <c r="L54">
        <v>-2.6</v>
      </c>
      <c r="M54">
        <v>-2.6</v>
      </c>
      <c r="N54">
        <v>-2.6</v>
      </c>
    </row>
    <row r="55" spans="1:14" x14ac:dyDescent="0.35">
      <c r="A55" s="1" t="s">
        <v>149</v>
      </c>
      <c r="B55" s="9">
        <f>SUM(B53:B54)</f>
        <v>-17.600000000000001</v>
      </c>
      <c r="C55" s="9">
        <f t="shared" ref="C55:J55" si="34">SUM(C53:C54)</f>
        <v>-18.350000000000001</v>
      </c>
      <c r="D55" s="9">
        <f t="shared" si="34"/>
        <v>-19.850000000000001</v>
      </c>
      <c r="E55" s="9">
        <f t="shared" si="34"/>
        <v>-20.6</v>
      </c>
      <c r="F55" s="9">
        <f t="shared" si="34"/>
        <v>-21.35</v>
      </c>
      <c r="G55" s="9">
        <f t="shared" si="34"/>
        <v>-22.1</v>
      </c>
      <c r="H55" s="9">
        <f t="shared" si="34"/>
        <v>-22.1</v>
      </c>
      <c r="I55">
        <f t="shared" si="34"/>
        <v>-23.6</v>
      </c>
      <c r="J55">
        <f t="shared" si="34"/>
        <v>-23.6</v>
      </c>
      <c r="K55">
        <f t="shared" ref="K55" si="35">SUM(K53:K54)</f>
        <v>-23.6</v>
      </c>
      <c r="L55">
        <f t="shared" ref="L55" si="36">SUM(L53:L54)</f>
        <v>-23.6</v>
      </c>
      <c r="M55">
        <f t="shared" ref="M55" si="37">SUM(M53:M54)</f>
        <v>-23.6</v>
      </c>
      <c r="N55">
        <f t="shared" ref="N55" si="38">SUM(N53:N54)</f>
        <v>-23.6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23"/>
  <sheetViews>
    <sheetView workbookViewId="0">
      <selection activeCell="D10" sqref="D10"/>
    </sheetView>
  </sheetViews>
  <sheetFormatPr baseColWidth="10" defaultRowHeight="14.5" x14ac:dyDescent="0.35"/>
  <cols>
    <col min="1" max="1" width="14.26953125" bestFit="1" customWidth="1"/>
  </cols>
  <sheetData>
    <row r="2" spans="1:9" x14ac:dyDescent="0.35">
      <c r="B2">
        <v>1</v>
      </c>
      <c r="C2">
        <v>2</v>
      </c>
      <c r="D2">
        <v>3</v>
      </c>
    </row>
    <row r="3" spans="1:9" x14ac:dyDescent="0.35">
      <c r="B3">
        <v>2015</v>
      </c>
      <c r="C3">
        <v>2016</v>
      </c>
      <c r="D3">
        <v>2017</v>
      </c>
      <c r="H3" t="s">
        <v>179</v>
      </c>
      <c r="I3" s="5">
        <f>WACC!B18</f>
        <v>7.4145889391594236E-2</v>
      </c>
    </row>
    <row r="4" spans="1:9" x14ac:dyDescent="0.35">
      <c r="H4" t="s">
        <v>180</v>
      </c>
      <c r="I4" s="5">
        <v>0.02</v>
      </c>
    </row>
    <row r="5" spans="1:9" x14ac:dyDescent="0.35">
      <c r="A5" t="s">
        <v>175</v>
      </c>
      <c r="B5" s="2">
        <f>Annual!D19</f>
        <v>342.78165578785365</v>
      </c>
      <c r="C5" s="2">
        <f>Annual!E19</f>
        <v>105.5374022414464</v>
      </c>
      <c r="D5" s="2">
        <f>Annual!F19</f>
        <v>104.28153958594811</v>
      </c>
      <c r="H5" t="s">
        <v>190</v>
      </c>
      <c r="I5">
        <f>Assumptions!E3</f>
        <v>7.5</v>
      </c>
    </row>
    <row r="6" spans="1:9" x14ac:dyDescent="0.35">
      <c r="A6" t="s">
        <v>18</v>
      </c>
      <c r="B6">
        <f>Annual!D27</f>
        <v>0</v>
      </c>
      <c r="C6">
        <f>Annual!E27</f>
        <v>0</v>
      </c>
      <c r="D6">
        <f>Annual!F27</f>
        <v>0</v>
      </c>
    </row>
    <row r="7" spans="1:9" x14ac:dyDescent="0.35">
      <c r="A7" t="s">
        <v>9</v>
      </c>
      <c r="B7">
        <f>Annual!D17*-1</f>
        <v>80.150000000000006</v>
      </c>
      <c r="C7">
        <f>Annual!E17*-1</f>
        <v>91.4</v>
      </c>
      <c r="D7">
        <f>Annual!F17*-1</f>
        <v>94.4</v>
      </c>
    </row>
    <row r="8" spans="1:9" x14ac:dyDescent="0.35">
      <c r="A8" t="s">
        <v>8</v>
      </c>
      <c r="B8">
        <f>Annual!D16*-1</f>
        <v>4.92</v>
      </c>
      <c r="C8">
        <f>Annual!E16*-1</f>
        <v>4.92</v>
      </c>
      <c r="D8">
        <f>Annual!F16*-1</f>
        <v>4.92</v>
      </c>
    </row>
    <row r="9" spans="1:9" x14ac:dyDescent="0.35">
      <c r="A9" t="s">
        <v>176</v>
      </c>
      <c r="B9">
        <v>-263</v>
      </c>
      <c r="C9">
        <v>-105</v>
      </c>
      <c r="D9">
        <v>-95</v>
      </c>
    </row>
    <row r="10" spans="1:9" x14ac:dyDescent="0.35">
      <c r="A10" t="s">
        <v>177</v>
      </c>
      <c r="B10">
        <v>0</v>
      </c>
      <c r="C10">
        <v>0</v>
      </c>
      <c r="D10">
        <v>0</v>
      </c>
    </row>
    <row r="11" spans="1:9" x14ac:dyDescent="0.35">
      <c r="A11" s="1" t="s">
        <v>178</v>
      </c>
      <c r="B11" s="4">
        <f>SUM(B5:B10)</f>
        <v>164.85165578785364</v>
      </c>
      <c r="C11" s="4">
        <f>SUM(C5:C10)</f>
        <v>96.857402241446408</v>
      </c>
      <c r="D11" s="4">
        <f>SUM(D5:D10)</f>
        <v>108.6015395859481</v>
      </c>
    </row>
    <row r="13" spans="1:9" x14ac:dyDescent="0.35">
      <c r="A13" t="s">
        <v>183</v>
      </c>
      <c r="D13" s="2">
        <f>D11*(1+I4)/(I3-I4)</f>
        <v>2045.8352724900274</v>
      </c>
    </row>
    <row r="14" spans="1:9" x14ac:dyDescent="0.35">
      <c r="A14" t="s">
        <v>181</v>
      </c>
      <c r="B14" s="2">
        <f>1/(1+$I$3)^B$2</f>
        <v>0.93097223559307096</v>
      </c>
      <c r="C14" s="2">
        <f t="shared" ref="C14:D14" si="0">1/(1+$I$3)^C$2</f>
        <v>0.86670930344516028</v>
      </c>
      <c r="D14" s="2">
        <f t="shared" si="0"/>
        <v>0.80688229783765408</v>
      </c>
    </row>
    <row r="15" spans="1:9" x14ac:dyDescent="0.35">
      <c r="A15" t="s">
        <v>182</v>
      </c>
      <c r="B15" s="2">
        <f>SUM(B11:B13)*B14</f>
        <v>153.47231453003752</v>
      </c>
      <c r="C15" s="2">
        <f t="shared" ref="C15" si="1">SUM(C11:C13)*C14</f>
        <v>83.947211630191717</v>
      </c>
      <c r="D15" s="2">
        <f>SUM(D11:D13)*D14</f>
        <v>1738.3769254738932</v>
      </c>
    </row>
    <row r="18" spans="1:2" x14ac:dyDescent="0.35">
      <c r="A18" t="s">
        <v>184</v>
      </c>
      <c r="B18" s="2">
        <f>SUM(B15:D15)</f>
        <v>1975.7964516341224</v>
      </c>
    </row>
    <row r="19" spans="1:2" x14ac:dyDescent="0.35">
      <c r="A19" t="s">
        <v>220</v>
      </c>
      <c r="B19" s="2">
        <f>Debt!N13</f>
        <v>460</v>
      </c>
    </row>
    <row r="20" spans="1:2" x14ac:dyDescent="0.35">
      <c r="A20" t="s">
        <v>186</v>
      </c>
      <c r="B20" s="2">
        <f>B18-B19</f>
        <v>1515.7964516341224</v>
      </c>
    </row>
    <row r="21" spans="1:2" x14ac:dyDescent="0.35">
      <c r="A21" t="s">
        <v>187</v>
      </c>
      <c r="B21" s="2">
        <v>132.9</v>
      </c>
    </row>
    <row r="22" spans="1:2" x14ac:dyDescent="0.35">
      <c r="A22" t="s">
        <v>188</v>
      </c>
      <c r="B22" s="2">
        <f>B20/B21</f>
        <v>11.405541396795503</v>
      </c>
    </row>
    <row r="23" spans="1:2" x14ac:dyDescent="0.35">
      <c r="A23" t="s">
        <v>189</v>
      </c>
      <c r="B23" s="2">
        <f>B22*I5</f>
        <v>85.541560475966264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8"/>
  <sheetViews>
    <sheetView workbookViewId="0">
      <selection activeCell="D13" sqref="D13"/>
    </sheetView>
  </sheetViews>
  <sheetFormatPr baseColWidth="10" defaultRowHeight="14.5" x14ac:dyDescent="0.35"/>
  <cols>
    <col min="1" max="1" width="17.453125" bestFit="1" customWidth="1"/>
  </cols>
  <sheetData>
    <row r="1" spans="1:2" x14ac:dyDescent="0.35">
      <c r="A1" t="s">
        <v>207</v>
      </c>
      <c r="B1">
        <f>Assumptions!E2</f>
        <v>132.9</v>
      </c>
    </row>
    <row r="2" spans="1:2" x14ac:dyDescent="0.35">
      <c r="A2" t="s">
        <v>206</v>
      </c>
      <c r="B2">
        <f>Assumptions!E1</f>
        <v>65</v>
      </c>
    </row>
    <row r="3" spans="1:2" x14ac:dyDescent="0.35">
      <c r="A3" t="s">
        <v>208</v>
      </c>
      <c r="B3">
        <f>B2/DCF!I5</f>
        <v>8.6666666666666661</v>
      </c>
    </row>
    <row r="5" spans="1:2" x14ac:dyDescent="0.35">
      <c r="A5" t="s">
        <v>205</v>
      </c>
      <c r="B5">
        <f>B3*B1</f>
        <v>1151.8</v>
      </c>
    </row>
    <row r="6" spans="1:2" x14ac:dyDescent="0.35">
      <c r="A6" t="s">
        <v>209</v>
      </c>
      <c r="B6">
        <v>528</v>
      </c>
    </row>
    <row r="7" spans="1:2" x14ac:dyDescent="0.35">
      <c r="A7" t="s">
        <v>211</v>
      </c>
      <c r="B7">
        <f>B5+B6</f>
        <v>1679.8</v>
      </c>
    </row>
    <row r="8" spans="1:2" x14ac:dyDescent="0.35">
      <c r="A8" t="s">
        <v>210</v>
      </c>
      <c r="B8" s="6">
        <f>B5/B7</f>
        <v>0.68567686629360636</v>
      </c>
    </row>
    <row r="9" spans="1:2" x14ac:dyDescent="0.35">
      <c r="A9" t="s">
        <v>212</v>
      </c>
      <c r="B9" s="6">
        <f>1-B8</f>
        <v>0.31432313370639364</v>
      </c>
    </row>
    <row r="11" spans="1:2" x14ac:dyDescent="0.35">
      <c r="A11" t="s">
        <v>213</v>
      </c>
      <c r="B11" s="6">
        <v>2.2499999999999999E-2</v>
      </c>
    </row>
    <row r="12" spans="1:2" x14ac:dyDescent="0.35">
      <c r="A12" t="s">
        <v>214</v>
      </c>
      <c r="B12" s="6">
        <v>0.08</v>
      </c>
    </row>
    <row r="13" spans="1:2" x14ac:dyDescent="0.35">
      <c r="A13" t="s">
        <v>215</v>
      </c>
      <c r="B13">
        <v>1.29</v>
      </c>
    </row>
    <row r="14" spans="1:2" x14ac:dyDescent="0.35">
      <c r="A14" t="s">
        <v>217</v>
      </c>
      <c r="B14" s="6">
        <f>B11+(B13*(B12-B11))</f>
        <v>9.6675000000000011E-2</v>
      </c>
    </row>
    <row r="16" spans="1:2" x14ac:dyDescent="0.35">
      <c r="A16" t="s">
        <v>216</v>
      </c>
      <c r="B16" s="6">
        <v>2.5000000000000001E-2</v>
      </c>
    </row>
    <row r="18" spans="1:2" x14ac:dyDescent="0.35">
      <c r="A18" t="s">
        <v>179</v>
      </c>
      <c r="B18" s="7">
        <f>(B9*B16)+(B14*B8)</f>
        <v>7.4145889391594236E-2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"/>
  <sheetViews>
    <sheetView workbookViewId="0">
      <selection activeCell="C9" sqref="C9"/>
    </sheetView>
  </sheetViews>
  <sheetFormatPr baseColWidth="10" defaultRowHeight="14.5" x14ac:dyDescent="0.35"/>
  <cols>
    <col min="1" max="1" width="11.90625" bestFit="1" customWidth="1"/>
  </cols>
  <sheetData>
    <row r="1" spans="1:14" x14ac:dyDescent="0.35">
      <c r="A1" t="s">
        <v>172</v>
      </c>
    </row>
    <row r="2" spans="1:14" x14ac:dyDescent="0.35">
      <c r="B2" t="s">
        <v>248</v>
      </c>
      <c r="C2">
        <v>2015</v>
      </c>
      <c r="G2">
        <v>2016</v>
      </c>
      <c r="K2">
        <v>2017</v>
      </c>
    </row>
    <row r="3" spans="1:14" x14ac:dyDescent="0.35">
      <c r="C3" t="s">
        <v>83</v>
      </c>
      <c r="D3" t="s">
        <v>84</v>
      </c>
      <c r="E3" t="s">
        <v>81</v>
      </c>
      <c r="F3" t="s">
        <v>82</v>
      </c>
      <c r="G3" t="s">
        <v>83</v>
      </c>
      <c r="H3" t="s">
        <v>84</v>
      </c>
      <c r="I3" t="s">
        <v>81</v>
      </c>
      <c r="J3" t="s">
        <v>82</v>
      </c>
      <c r="K3" t="s">
        <v>83</v>
      </c>
      <c r="L3" t="s">
        <v>84</v>
      </c>
      <c r="M3" t="s">
        <v>81</v>
      </c>
      <c r="N3" t="s">
        <v>82</v>
      </c>
    </row>
    <row r="5" spans="1:14" x14ac:dyDescent="0.35">
      <c r="A5" t="s">
        <v>249</v>
      </c>
    </row>
    <row r="6" spans="1:14" x14ac:dyDescent="0.35">
      <c r="A6" t="s">
        <v>149</v>
      </c>
      <c r="B6">
        <v>530</v>
      </c>
      <c r="C6">
        <f t="shared" ref="C6:N6" si="0">B$6+C$5</f>
        <v>530</v>
      </c>
      <c r="D6">
        <f t="shared" si="0"/>
        <v>530</v>
      </c>
      <c r="E6">
        <f>D$6+E$5</f>
        <v>530</v>
      </c>
      <c r="F6">
        <f t="shared" si="0"/>
        <v>530</v>
      </c>
      <c r="G6">
        <f t="shared" si="0"/>
        <v>530</v>
      </c>
      <c r="H6">
        <f t="shared" si="0"/>
        <v>530</v>
      </c>
      <c r="I6">
        <f t="shared" si="0"/>
        <v>530</v>
      </c>
      <c r="J6">
        <f t="shared" si="0"/>
        <v>530</v>
      </c>
      <c r="K6">
        <f t="shared" si="0"/>
        <v>530</v>
      </c>
      <c r="L6">
        <f t="shared" si="0"/>
        <v>530</v>
      </c>
      <c r="M6">
        <f t="shared" si="0"/>
        <v>530</v>
      </c>
      <c r="N6">
        <f t="shared" si="0"/>
        <v>530</v>
      </c>
    </row>
    <row r="8" spans="1:14" x14ac:dyDescent="0.35">
      <c r="A8" t="s">
        <v>173</v>
      </c>
      <c r="B8">
        <v>5.0000000000000001E-3</v>
      </c>
      <c r="C8">
        <v>5.0000000000000001E-3</v>
      </c>
      <c r="D8">
        <v>5.0000000000000001E-3</v>
      </c>
      <c r="E8">
        <v>5.0000000000000001E-3</v>
      </c>
      <c r="F8">
        <v>5.0000000000000001E-3</v>
      </c>
      <c r="G8">
        <v>5.0000000000000001E-3</v>
      </c>
      <c r="H8">
        <v>5.0000000000000001E-3</v>
      </c>
      <c r="I8">
        <v>5.0000000000000001E-3</v>
      </c>
      <c r="J8">
        <v>5.0000000000000001E-3</v>
      </c>
      <c r="K8">
        <v>5.0000000000000001E-3</v>
      </c>
      <c r="L8">
        <v>5.0000000000000001E-3</v>
      </c>
      <c r="M8">
        <v>5.0000000000000001E-3</v>
      </c>
      <c r="N8">
        <v>5.0000000000000001E-3</v>
      </c>
    </row>
    <row r="9" spans="1:14" x14ac:dyDescent="0.35">
      <c r="A9" t="s">
        <v>174</v>
      </c>
      <c r="B9" s="2">
        <f>B6*-B8</f>
        <v>-2.65</v>
      </c>
      <c r="C9" s="2">
        <f t="shared" ref="C9:I9" si="1">C6*-C8</f>
        <v>-2.65</v>
      </c>
      <c r="D9" s="2">
        <f t="shared" si="1"/>
        <v>-2.65</v>
      </c>
      <c r="E9" s="2">
        <f t="shared" si="1"/>
        <v>-2.65</v>
      </c>
      <c r="F9" s="2">
        <f t="shared" si="1"/>
        <v>-2.65</v>
      </c>
      <c r="G9" s="2">
        <f t="shared" si="1"/>
        <v>-2.65</v>
      </c>
      <c r="H9" s="2">
        <f t="shared" si="1"/>
        <v>-2.65</v>
      </c>
      <c r="I9" s="2">
        <f t="shared" si="1"/>
        <v>-2.65</v>
      </c>
      <c r="J9" s="2">
        <f>J6*-J8</f>
        <v>-2.65</v>
      </c>
      <c r="K9" s="2">
        <f t="shared" ref="K9" si="2">K6*-K8</f>
        <v>-2.65</v>
      </c>
      <c r="L9" s="2">
        <f t="shared" ref="L9" si="3">L6*-L8</f>
        <v>-2.65</v>
      </c>
      <c r="M9" s="2">
        <f t="shared" ref="M9" si="4">M6*-M8</f>
        <v>-2.65</v>
      </c>
      <c r="N9" s="2">
        <f t="shared" ref="N9" si="5">N6*-N8</f>
        <v>-2.65</v>
      </c>
    </row>
    <row r="11" spans="1:14" x14ac:dyDescent="0.35">
      <c r="A11" t="s">
        <v>185</v>
      </c>
      <c r="B11" s="2">
        <v>70</v>
      </c>
      <c r="C11" s="2">
        <v>70</v>
      </c>
      <c r="D11" s="2">
        <v>70</v>
      </c>
      <c r="E11" s="2">
        <v>70</v>
      </c>
      <c r="F11" s="2">
        <v>70</v>
      </c>
      <c r="G11" s="2">
        <v>70</v>
      </c>
      <c r="H11" s="2">
        <v>70</v>
      </c>
      <c r="I11" s="2">
        <v>70</v>
      </c>
      <c r="J11" s="2">
        <v>70</v>
      </c>
      <c r="K11" s="2">
        <v>70</v>
      </c>
      <c r="L11" s="2">
        <v>70</v>
      </c>
      <c r="M11" s="2">
        <v>70</v>
      </c>
      <c r="N11" s="2">
        <v>70</v>
      </c>
    </row>
    <row r="12" spans="1:14" x14ac:dyDescent="0.35">
      <c r="A12" t="s">
        <v>220</v>
      </c>
      <c r="B12" s="2">
        <f>B6-B11</f>
        <v>460</v>
      </c>
      <c r="C12" s="2">
        <f t="shared" ref="C12:N12" si="6">C6-C11</f>
        <v>460</v>
      </c>
      <c r="D12" s="2">
        <f t="shared" si="6"/>
        <v>460</v>
      </c>
      <c r="E12" s="2">
        <f t="shared" si="6"/>
        <v>460</v>
      </c>
      <c r="F12" s="2">
        <f t="shared" si="6"/>
        <v>460</v>
      </c>
      <c r="G12" s="2">
        <f t="shared" si="6"/>
        <v>460</v>
      </c>
      <c r="H12" s="2">
        <f t="shared" si="6"/>
        <v>460</v>
      </c>
      <c r="I12" s="2">
        <f t="shared" si="6"/>
        <v>460</v>
      </c>
      <c r="J12" s="2">
        <f t="shared" si="6"/>
        <v>460</v>
      </c>
      <c r="K12" s="2">
        <f t="shared" si="6"/>
        <v>460</v>
      </c>
      <c r="L12" s="2">
        <f t="shared" si="6"/>
        <v>460</v>
      </c>
      <c r="M12" s="2">
        <f t="shared" si="6"/>
        <v>460</v>
      </c>
      <c r="N12" s="2">
        <f t="shared" si="6"/>
        <v>460</v>
      </c>
    </row>
    <row r="13" spans="1:14" x14ac:dyDescent="0.35">
      <c r="A13" t="s">
        <v>221</v>
      </c>
      <c r="F13" s="2">
        <f>(C12+F12)/2</f>
        <v>460</v>
      </c>
      <c r="J13" s="2">
        <f>(G12+J12)/2</f>
        <v>460</v>
      </c>
      <c r="N13" s="2">
        <f>(K12+N12)/2</f>
        <v>460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52"/>
  <sheetViews>
    <sheetView topLeftCell="A25" workbookViewId="0">
      <selection activeCell="B27" sqref="B27"/>
    </sheetView>
  </sheetViews>
  <sheetFormatPr baseColWidth="10" defaultRowHeight="14.5" x14ac:dyDescent="0.35"/>
  <cols>
    <col min="1" max="1" width="15.36328125" bestFit="1" customWidth="1"/>
  </cols>
  <sheetData>
    <row r="2" spans="1:4" x14ac:dyDescent="0.35">
      <c r="A2" s="1" t="s">
        <v>126</v>
      </c>
      <c r="B2" s="1" t="s">
        <v>258</v>
      </c>
      <c r="C2" s="1" t="s">
        <v>222</v>
      </c>
      <c r="D2" s="1" t="s">
        <v>223</v>
      </c>
    </row>
    <row r="4" spans="1:4" x14ac:dyDescent="0.35">
      <c r="A4" t="s">
        <v>104</v>
      </c>
      <c r="B4">
        <v>2009</v>
      </c>
    </row>
    <row r="5" spans="1:4" x14ac:dyDescent="0.35">
      <c r="A5" t="s">
        <v>105</v>
      </c>
      <c r="B5">
        <v>2001</v>
      </c>
    </row>
    <row r="6" spans="1:4" x14ac:dyDescent="0.35">
      <c r="A6" t="s">
        <v>106</v>
      </c>
      <c r="B6">
        <v>2001</v>
      </c>
    </row>
    <row r="7" spans="1:4" x14ac:dyDescent="0.35">
      <c r="A7" t="s">
        <v>107</v>
      </c>
      <c r="B7">
        <v>2006</v>
      </c>
    </row>
    <row r="8" spans="1:4" x14ac:dyDescent="0.35">
      <c r="A8" t="s">
        <v>108</v>
      </c>
      <c r="B8">
        <v>2001</v>
      </c>
    </row>
    <row r="9" spans="1:4" x14ac:dyDescent="0.35">
      <c r="A9" t="s">
        <v>109</v>
      </c>
      <c r="B9">
        <v>2005</v>
      </c>
    </row>
    <row r="10" spans="1:4" x14ac:dyDescent="0.35">
      <c r="A10" t="s">
        <v>110</v>
      </c>
      <c r="B10">
        <v>2002</v>
      </c>
    </row>
    <row r="11" spans="1:4" x14ac:dyDescent="0.35">
      <c r="A11" t="s">
        <v>111</v>
      </c>
      <c r="B11">
        <v>2007</v>
      </c>
    </row>
    <row r="12" spans="1:4" x14ac:dyDescent="0.35">
      <c r="A12" t="s">
        <v>112</v>
      </c>
      <c r="B12">
        <v>2008</v>
      </c>
    </row>
    <row r="13" spans="1:4" x14ac:dyDescent="0.35">
      <c r="A13" t="s">
        <v>113</v>
      </c>
      <c r="B13">
        <v>2008</v>
      </c>
    </row>
    <row r="14" spans="1:4" x14ac:dyDescent="0.35">
      <c r="A14" t="s">
        <v>114</v>
      </c>
      <c r="B14">
        <v>2007</v>
      </c>
    </row>
    <row r="15" spans="1:4" x14ac:dyDescent="0.35">
      <c r="A15" t="s">
        <v>115</v>
      </c>
      <c r="B15">
        <v>2008</v>
      </c>
    </row>
    <row r="16" spans="1:4" x14ac:dyDescent="0.35">
      <c r="A16" t="s">
        <v>116</v>
      </c>
      <c r="B16">
        <v>2006</v>
      </c>
    </row>
    <row r="17" spans="1:3" x14ac:dyDescent="0.35">
      <c r="A17" t="s">
        <v>117</v>
      </c>
      <c r="B17">
        <v>2001</v>
      </c>
    </row>
    <row r="18" spans="1:3" x14ac:dyDescent="0.35">
      <c r="A18" t="s">
        <v>118</v>
      </c>
      <c r="B18">
        <v>2007</v>
      </c>
    </row>
    <row r="19" spans="1:3" x14ac:dyDescent="0.35">
      <c r="A19" t="s">
        <v>119</v>
      </c>
      <c r="B19">
        <v>2007</v>
      </c>
    </row>
    <row r="20" spans="1:3" x14ac:dyDescent="0.35">
      <c r="A20" t="s">
        <v>120</v>
      </c>
      <c r="B20">
        <v>2007</v>
      </c>
    </row>
    <row r="21" spans="1:3" x14ac:dyDescent="0.35">
      <c r="A21" t="s">
        <v>121</v>
      </c>
      <c r="B21">
        <v>2008</v>
      </c>
    </row>
    <row r="22" spans="1:3" x14ac:dyDescent="0.35">
      <c r="A22" t="s">
        <v>122</v>
      </c>
      <c r="B22">
        <v>2011</v>
      </c>
    </row>
    <row r="23" spans="1:3" x14ac:dyDescent="0.35">
      <c r="A23" t="s">
        <v>135</v>
      </c>
      <c r="B23">
        <v>2010</v>
      </c>
    </row>
    <row r="24" spans="1:3" x14ac:dyDescent="0.35">
      <c r="A24" t="s">
        <v>147</v>
      </c>
      <c r="B24">
        <v>2014</v>
      </c>
    </row>
    <row r="25" spans="1:3" x14ac:dyDescent="0.35">
      <c r="A25" t="s">
        <v>257</v>
      </c>
      <c r="B25">
        <v>2015</v>
      </c>
    </row>
    <row r="26" spans="1:3" x14ac:dyDescent="0.35">
      <c r="A26" t="s">
        <v>261</v>
      </c>
      <c r="B26">
        <v>2015</v>
      </c>
    </row>
    <row r="27" spans="1:3" x14ac:dyDescent="0.35">
      <c r="A27" t="s">
        <v>123</v>
      </c>
      <c r="C27" t="s">
        <v>152</v>
      </c>
    </row>
    <row r="28" spans="1:3" x14ac:dyDescent="0.35">
      <c r="A28" t="s">
        <v>124</v>
      </c>
      <c r="C28" t="s">
        <v>153</v>
      </c>
    </row>
    <row r="29" spans="1:3" x14ac:dyDescent="0.35">
      <c r="A29" t="s">
        <v>125</v>
      </c>
      <c r="C29" t="s">
        <v>154</v>
      </c>
    </row>
    <row r="30" spans="1:3" x14ac:dyDescent="0.35">
      <c r="A30" t="s">
        <v>145</v>
      </c>
      <c r="C30" t="s">
        <v>155</v>
      </c>
    </row>
    <row r="31" spans="1:3" x14ac:dyDescent="0.35">
      <c r="A31" t="s">
        <v>146</v>
      </c>
      <c r="C31" t="s">
        <v>155</v>
      </c>
    </row>
    <row r="33" spans="1:4" x14ac:dyDescent="0.35">
      <c r="A33" s="1" t="s">
        <v>127</v>
      </c>
    </row>
    <row r="35" spans="1:4" x14ac:dyDescent="0.35">
      <c r="A35" t="s">
        <v>128</v>
      </c>
      <c r="B35">
        <v>2006</v>
      </c>
    </row>
    <row r="36" spans="1:4" x14ac:dyDescent="0.35">
      <c r="A36" t="s">
        <v>129</v>
      </c>
      <c r="B36">
        <v>2006</v>
      </c>
    </row>
    <row r="37" spans="1:4" x14ac:dyDescent="0.35">
      <c r="A37" t="s">
        <v>131</v>
      </c>
      <c r="B37">
        <v>2007</v>
      </c>
    </row>
    <row r="38" spans="1:4" x14ac:dyDescent="0.35">
      <c r="A38" t="s">
        <v>132</v>
      </c>
      <c r="B38">
        <v>2010</v>
      </c>
    </row>
    <row r="39" spans="1:4" x14ac:dyDescent="0.35">
      <c r="A39" t="s">
        <v>133</v>
      </c>
      <c r="B39">
        <v>2009</v>
      </c>
    </row>
    <row r="40" spans="1:4" x14ac:dyDescent="0.35">
      <c r="A40" t="s">
        <v>136</v>
      </c>
      <c r="B40">
        <v>2009</v>
      </c>
    </row>
    <row r="41" spans="1:4" x14ac:dyDescent="0.35">
      <c r="A41" t="s">
        <v>137</v>
      </c>
      <c r="B41">
        <v>2009</v>
      </c>
    </row>
    <row r="42" spans="1:4" x14ac:dyDescent="0.35">
      <c r="A42" t="s">
        <v>130</v>
      </c>
      <c r="B42">
        <v>1990</v>
      </c>
      <c r="D42" t="s">
        <v>152</v>
      </c>
    </row>
    <row r="43" spans="1:4" x14ac:dyDescent="0.35">
      <c r="A43" t="s">
        <v>134</v>
      </c>
      <c r="B43">
        <v>2007</v>
      </c>
      <c r="D43" t="s">
        <v>231</v>
      </c>
    </row>
    <row r="44" spans="1:4" x14ac:dyDescent="0.35">
      <c r="A44" t="s">
        <v>138</v>
      </c>
      <c r="B44">
        <v>2003</v>
      </c>
      <c r="D44" t="s">
        <v>151</v>
      </c>
    </row>
    <row r="46" spans="1:4" x14ac:dyDescent="0.35">
      <c r="A46" s="1" t="s">
        <v>139</v>
      </c>
    </row>
    <row r="48" spans="1:4" x14ac:dyDescent="0.35">
      <c r="A48" t="s">
        <v>140</v>
      </c>
      <c r="B48">
        <v>1991</v>
      </c>
    </row>
    <row r="49" spans="1:2" x14ac:dyDescent="0.35">
      <c r="A49" t="s">
        <v>141</v>
      </c>
      <c r="B49">
        <v>1993</v>
      </c>
    </row>
    <row r="50" spans="1:2" x14ac:dyDescent="0.35">
      <c r="A50" t="s">
        <v>142</v>
      </c>
      <c r="B50">
        <v>1992</v>
      </c>
    </row>
    <row r="51" spans="1:2" x14ac:dyDescent="0.35">
      <c r="A51" t="s">
        <v>143</v>
      </c>
      <c r="B51">
        <v>2003</v>
      </c>
    </row>
    <row r="52" spans="1:2" x14ac:dyDescent="0.35">
      <c r="A52" t="s">
        <v>144</v>
      </c>
      <c r="B52">
        <v>2003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workbookViewId="0">
      <pane xSplit="1" ySplit="3" topLeftCell="B5" activePane="bottomRight" state="frozen"/>
      <selection pane="topRight" activeCell="B1" sqref="B1"/>
      <selection pane="bottomLeft" activeCell="A4" sqref="A4"/>
      <selection pane="bottomRight" activeCell="I1" sqref="I1"/>
    </sheetView>
  </sheetViews>
  <sheetFormatPr baseColWidth="10" defaultRowHeight="14.5" x14ac:dyDescent="0.35"/>
  <cols>
    <col min="1" max="1" width="14.54296875" bestFit="1" customWidth="1"/>
    <col min="5" max="5" width="10.1796875" customWidth="1"/>
    <col min="6" max="6" width="13.7265625" bestFit="1" customWidth="1"/>
  </cols>
  <sheetData>
    <row r="1" spans="1:7" x14ac:dyDescent="0.35">
      <c r="A1" t="s">
        <v>190</v>
      </c>
      <c r="B1">
        <f>Assumptions!E3</f>
        <v>7.5</v>
      </c>
      <c r="F1" t="s">
        <v>187</v>
      </c>
      <c r="G1">
        <f>Assumptions!E2</f>
        <v>132.9</v>
      </c>
    </row>
    <row r="2" spans="1:7" x14ac:dyDescent="0.35">
      <c r="A2" t="s">
        <v>191</v>
      </c>
      <c r="B2">
        <v>0.5</v>
      </c>
      <c r="C2">
        <v>1</v>
      </c>
      <c r="F2" t="s">
        <v>194</v>
      </c>
      <c r="G2">
        <v>65</v>
      </c>
    </row>
    <row r="3" spans="1:7" x14ac:dyDescent="0.35">
      <c r="F3" t="s">
        <v>195</v>
      </c>
      <c r="G3">
        <f>G2/B1</f>
        <v>8.6666666666666661</v>
      </c>
    </row>
    <row r="5" spans="1:7" x14ac:dyDescent="0.35">
      <c r="B5" t="s">
        <v>224</v>
      </c>
      <c r="C5" t="s">
        <v>240</v>
      </c>
      <c r="D5" t="s">
        <v>241</v>
      </c>
      <c r="E5" t="s">
        <v>242</v>
      </c>
    </row>
    <row r="7" spans="1:7" x14ac:dyDescent="0.35">
      <c r="A7" t="s">
        <v>192</v>
      </c>
      <c r="B7" s="2">
        <f>Quarterly!F29+Quarterly!G29</f>
        <v>152.51999999999998</v>
      </c>
      <c r="C7" s="2">
        <f>Annual!D26</f>
        <v>332.18165578785363</v>
      </c>
      <c r="D7" s="2">
        <f>Annual!E26</f>
        <v>94.937402241446392</v>
      </c>
      <c r="E7" s="2">
        <f>Annual!F26</f>
        <v>93.681539585948101</v>
      </c>
    </row>
    <row r="8" spans="1:7" x14ac:dyDescent="0.35">
      <c r="A8" t="s">
        <v>193</v>
      </c>
      <c r="B8" s="2">
        <f>B7*$C$2</f>
        <v>152.51999999999998</v>
      </c>
      <c r="C8" s="2">
        <f>C7*$B$2</f>
        <v>166.09082789392681</v>
      </c>
      <c r="D8" s="2">
        <f>D7*$B$2</f>
        <v>47.468701120723196</v>
      </c>
      <c r="E8" s="2">
        <f>E7*$B$2</f>
        <v>46.840769792974051</v>
      </c>
    </row>
    <row r="9" spans="1:7" x14ac:dyDescent="0.35">
      <c r="A9" t="s">
        <v>196</v>
      </c>
      <c r="B9" s="2">
        <v>1.1499999999999999</v>
      </c>
      <c r="C9" s="2">
        <f>C8/$G$1</f>
        <v>1.2497428735434672</v>
      </c>
      <c r="D9" s="2">
        <f>D8/$G$1</f>
        <v>0.35717608066759365</v>
      </c>
      <c r="E9" s="2">
        <f>E8/$G$1</f>
        <v>0.35245123997723138</v>
      </c>
    </row>
    <row r="10" spans="1:7" x14ac:dyDescent="0.35">
      <c r="A10" t="s">
        <v>200</v>
      </c>
      <c r="B10" s="2">
        <f>B9*$B$1</f>
        <v>8.625</v>
      </c>
      <c r="C10" s="2">
        <f>C9*$B$1</f>
        <v>9.3730715515760039</v>
      </c>
      <c r="D10" s="2">
        <f>D9*$B$1</f>
        <v>2.6788206050069525</v>
      </c>
      <c r="E10" s="2">
        <f>E9*$B$1</f>
        <v>2.6433842998292354</v>
      </c>
    </row>
    <row r="11" spans="1:7" x14ac:dyDescent="0.35">
      <c r="A11" s="1" t="s">
        <v>197</v>
      </c>
      <c r="B11" s="6">
        <f>B9/$G$3</f>
        <v>0.13269230769230769</v>
      </c>
      <c r="C11" s="6">
        <f>C9/B13</f>
        <v>0.1662629100057828</v>
      </c>
      <c r="D11" s="6">
        <f>D9/C13</f>
        <v>5.6993844581216868E-2</v>
      </c>
      <c r="E11" s="6">
        <f>E9/D13</f>
        <v>5.963896550683407E-2</v>
      </c>
    </row>
    <row r="13" spans="1:7" x14ac:dyDescent="0.35">
      <c r="A13" t="s">
        <v>198</v>
      </c>
      <c r="B13" s="2">
        <f>G3-B9</f>
        <v>7.5166666666666657</v>
      </c>
      <c r="C13" s="2">
        <f>B13-C9</f>
        <v>6.2669237931231985</v>
      </c>
      <c r="D13" s="2">
        <f>C13-D9</f>
        <v>5.909747712455605</v>
      </c>
      <c r="E13" s="2">
        <f>D13-E9</f>
        <v>5.5572964724783738</v>
      </c>
    </row>
    <row r="14" spans="1:7" x14ac:dyDescent="0.35">
      <c r="A14" t="s">
        <v>199</v>
      </c>
      <c r="B14" s="2">
        <f>B13*$B$1</f>
        <v>56.374999999999993</v>
      </c>
      <c r="C14" s="2">
        <f>C13*$B$1</f>
        <v>47.001928448423989</v>
      </c>
      <c r="D14" s="2">
        <f>D13*$B$1</f>
        <v>44.323107843417034</v>
      </c>
      <c r="E14" s="2">
        <f>E13*$B$1</f>
        <v>41.679723543587805</v>
      </c>
    </row>
    <row r="16" spans="1:7" x14ac:dyDescent="0.35">
      <c r="A16" t="s">
        <v>236</v>
      </c>
      <c r="B16">
        <f>Quarterly!G59</f>
        <v>1080.95</v>
      </c>
      <c r="C16" s="2">
        <f>B16+(C7-C8)</f>
        <v>1247.0408278939269</v>
      </c>
      <c r="D16" s="2">
        <f>C16+(D7-D8)</f>
        <v>1294.5095290146501</v>
      </c>
      <c r="E16" s="2">
        <f t="shared" ref="E16" si="0">D16+(E7-E8)</f>
        <v>1341.3502988076241</v>
      </c>
    </row>
    <row r="18" spans="1:5" x14ac:dyDescent="0.35">
      <c r="A18" s="1" t="s">
        <v>218</v>
      </c>
      <c r="C18" s="2">
        <f>B13*$G$1/C7</f>
        <v>3.0072852687506155</v>
      </c>
      <c r="D18" s="2">
        <f>C13*$G$1/D7</f>
        <v>8.7728772058444751</v>
      </c>
      <c r="E18" s="2">
        <f>D13*$G$1/E7</f>
        <v>8.3837805661250897</v>
      </c>
    </row>
    <row r="19" spans="1:5" x14ac:dyDescent="0.35">
      <c r="A19" s="1" t="s">
        <v>237</v>
      </c>
      <c r="C19" s="2">
        <f>(B13*$G$1)/((C16+B16)/2)</f>
        <v>0.85822073526272236</v>
      </c>
      <c r="D19" s="2">
        <f>(C13*$G$1)/((D16+C16)/2)</f>
        <v>0.65540638991638356</v>
      </c>
      <c r="E19" s="2">
        <f>(D13*$G$1)/((E16+D16)/2)</f>
        <v>0.59593872382375157</v>
      </c>
    </row>
    <row r="20" spans="1:5" x14ac:dyDescent="0.35">
      <c r="A20" s="1" t="s">
        <v>233</v>
      </c>
      <c r="C20" s="2">
        <f>((B13*$G$1)+Debt!F13)/Annual!D13</f>
        <v>3.4099786228790809</v>
      </c>
      <c r="D20" s="2">
        <f>((C13*$G$1)+Debt!J13)/Annual!E13</f>
        <v>6.4048885884285589</v>
      </c>
      <c r="E20" s="2">
        <f>((D13*$G$1)+Debt!N13)/Annual!F13</f>
        <v>6.1168764908067708</v>
      </c>
    </row>
    <row r="21" spans="1:5" x14ac:dyDescent="0.35">
      <c r="A21" s="1" t="s">
        <v>219</v>
      </c>
      <c r="C21" s="2">
        <f>((B13*$G$1)+Debt!F13)/Annual!D19</f>
        <v>4.2562516849003966</v>
      </c>
      <c r="D21" s="2">
        <f>((C13*$G$1)+Debt!J13)/Annual!E19</f>
        <v>12.250388437155777</v>
      </c>
      <c r="E21" s="2">
        <f>((D13*$G$1)+Debt!N13)/Annual!F19</f>
        <v>11.942722325833092</v>
      </c>
    </row>
    <row r="22" spans="1:5" x14ac:dyDescent="0.35">
      <c r="A22" s="1" t="s">
        <v>238</v>
      </c>
      <c r="C22" s="6">
        <f>C7/((B16+C16)/2)</f>
        <v>0.28538055374416554</v>
      </c>
      <c r="D22" s="6">
        <f>D7/((C16+D16)/2)</f>
        <v>7.4708259848861563E-2</v>
      </c>
      <c r="E22" s="6">
        <f t="shared" ref="E22" si="1">E7/((D16+E16)/2)</f>
        <v>7.1082337988622873E-2</v>
      </c>
    </row>
    <row r="23" spans="1:5" x14ac:dyDescent="0.35">
      <c r="A23" s="1" t="s">
        <v>239</v>
      </c>
      <c r="C23" s="6">
        <f>C7/($G$1*B13)</f>
        <v>0.33252582001156561</v>
      </c>
      <c r="D23" s="6">
        <f>D7/($G$1*C13)</f>
        <v>0.11398768916243372</v>
      </c>
      <c r="E23" s="6">
        <f>E7/($G$1*D13)</f>
        <v>0.11927793101366814</v>
      </c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0"/>
  <sheetViews>
    <sheetView tabSelected="1" workbookViewId="0">
      <selection activeCell="I35" sqref="I35"/>
    </sheetView>
  </sheetViews>
  <sheetFormatPr baseColWidth="10" defaultRowHeight="14.5" x14ac:dyDescent="0.35"/>
  <cols>
    <col min="3" max="3" width="9.90625" customWidth="1"/>
  </cols>
  <sheetData>
    <row r="1" spans="1:17" x14ac:dyDescent="0.35">
      <c r="B1" s="11" t="s">
        <v>254</v>
      </c>
      <c r="C1" s="11"/>
      <c r="D1" s="11"/>
      <c r="H1" s="11" t="s">
        <v>252</v>
      </c>
      <c r="I1" s="11"/>
      <c r="J1" s="11"/>
      <c r="N1" s="11" t="s">
        <v>255</v>
      </c>
      <c r="O1" s="11"/>
      <c r="P1" s="11"/>
    </row>
    <row r="3" spans="1:17" x14ac:dyDescent="0.35">
      <c r="B3" t="s">
        <v>243</v>
      </c>
      <c r="C3" t="s">
        <v>250</v>
      </c>
      <c r="D3" t="s">
        <v>253</v>
      </c>
      <c r="E3" t="s">
        <v>250</v>
      </c>
      <c r="H3" t="s">
        <v>247</v>
      </c>
      <c r="I3" t="s">
        <v>251</v>
      </c>
      <c r="J3" t="s">
        <v>253</v>
      </c>
      <c r="K3" t="s">
        <v>250</v>
      </c>
      <c r="N3" t="s">
        <v>247</v>
      </c>
      <c r="O3" t="s">
        <v>251</v>
      </c>
      <c r="P3" t="s">
        <v>253</v>
      </c>
      <c r="Q3" t="s">
        <v>250</v>
      </c>
    </row>
    <row r="4" spans="1:17" x14ac:dyDescent="0.35">
      <c r="B4">
        <v>70000</v>
      </c>
      <c r="C4" s="3">
        <f t="shared" ref="C4:C10" si="0">(B4-$B$11)/$B$11</f>
        <v>1</v>
      </c>
      <c r="D4">
        <v>563</v>
      </c>
      <c r="E4" s="3">
        <f t="shared" ref="E4:E11" si="1">(D4-$D$11)/$D$11</f>
        <v>2.3712574850299402</v>
      </c>
      <c r="H4">
        <v>70000</v>
      </c>
      <c r="I4" s="3">
        <f t="shared" ref="I4:I11" si="2">(H4-$H$11)/$H$11</f>
        <v>1</v>
      </c>
      <c r="J4">
        <v>381</v>
      </c>
      <c r="K4" s="3">
        <f t="shared" ref="K4:K11" si="3">(J4-$J$11)/$J$11</f>
        <v>1.9083969465648856</v>
      </c>
      <c r="N4">
        <v>70000</v>
      </c>
      <c r="O4" s="3">
        <f t="shared" ref="O4:O10" si="4">(N4-$N$11)/$N$11</f>
        <v>1</v>
      </c>
      <c r="P4">
        <v>397</v>
      </c>
      <c r="Q4" s="3">
        <f t="shared" ref="Q4:Q10" si="5">(P4-$P$11)/$P$11</f>
        <v>1.9849624060150375</v>
      </c>
    </row>
    <row r="5" spans="1:17" x14ac:dyDescent="0.35">
      <c r="B5">
        <v>65000</v>
      </c>
      <c r="C5" s="3">
        <f t="shared" si="0"/>
        <v>0.8571428571428571</v>
      </c>
      <c r="D5">
        <v>503</v>
      </c>
      <c r="E5" s="3">
        <f t="shared" si="1"/>
        <v>2.0119760479041915</v>
      </c>
      <c r="H5">
        <v>65000</v>
      </c>
      <c r="I5" s="3">
        <f t="shared" si="2"/>
        <v>0.8571428571428571</v>
      </c>
      <c r="J5">
        <v>345</v>
      </c>
      <c r="K5" s="3">
        <f t="shared" si="3"/>
        <v>1.633587786259542</v>
      </c>
      <c r="N5">
        <v>65000</v>
      </c>
      <c r="O5" s="3">
        <f t="shared" si="4"/>
        <v>0.8571428571428571</v>
      </c>
      <c r="P5">
        <v>359</v>
      </c>
      <c r="Q5" s="3">
        <f t="shared" si="5"/>
        <v>1.6992481203007519</v>
      </c>
    </row>
    <row r="6" spans="1:17" x14ac:dyDescent="0.35">
      <c r="B6">
        <v>60000</v>
      </c>
      <c r="C6" s="3">
        <f t="shared" si="0"/>
        <v>0.7142857142857143</v>
      </c>
      <c r="D6">
        <v>449</v>
      </c>
      <c r="E6" s="3">
        <f t="shared" si="1"/>
        <v>1.688622754491018</v>
      </c>
      <c r="H6">
        <v>60000</v>
      </c>
      <c r="I6" s="3">
        <f t="shared" si="2"/>
        <v>0.7142857142857143</v>
      </c>
      <c r="J6">
        <v>310</v>
      </c>
      <c r="K6" s="3">
        <f t="shared" si="3"/>
        <v>1.366412213740458</v>
      </c>
      <c r="N6">
        <v>60000</v>
      </c>
      <c r="O6" s="3">
        <f t="shared" si="4"/>
        <v>0.7142857142857143</v>
      </c>
      <c r="P6">
        <v>322</v>
      </c>
      <c r="Q6" s="3">
        <f t="shared" si="5"/>
        <v>1.4210526315789473</v>
      </c>
    </row>
    <row r="7" spans="1:17" x14ac:dyDescent="0.35">
      <c r="B7">
        <v>55000</v>
      </c>
      <c r="C7" s="3">
        <f t="shared" si="0"/>
        <v>0.5714285714285714</v>
      </c>
      <c r="D7">
        <v>390</v>
      </c>
      <c r="E7" s="3">
        <f t="shared" si="1"/>
        <v>1.3353293413173652</v>
      </c>
      <c r="H7">
        <v>55000</v>
      </c>
      <c r="I7" s="3">
        <f t="shared" si="2"/>
        <v>0.5714285714285714</v>
      </c>
      <c r="J7">
        <v>274</v>
      </c>
      <c r="K7" s="3">
        <f t="shared" si="3"/>
        <v>1.0916030534351144</v>
      </c>
      <c r="N7">
        <v>55000</v>
      </c>
      <c r="O7" s="3">
        <f t="shared" si="4"/>
        <v>0.5714285714285714</v>
      </c>
      <c r="P7">
        <v>284</v>
      </c>
      <c r="Q7" s="3">
        <f t="shared" si="5"/>
        <v>1.1353383458646618</v>
      </c>
    </row>
    <row r="8" spans="1:17" x14ac:dyDescent="0.35">
      <c r="B8">
        <v>50000</v>
      </c>
      <c r="C8" s="3">
        <f t="shared" si="0"/>
        <v>0.42857142857142855</v>
      </c>
      <c r="D8">
        <v>335</v>
      </c>
      <c r="E8" s="3">
        <f t="shared" si="1"/>
        <v>1.0059880239520957</v>
      </c>
      <c r="H8">
        <v>50000</v>
      </c>
      <c r="I8" s="3">
        <f t="shared" si="2"/>
        <v>0.42857142857142855</v>
      </c>
      <c r="J8">
        <v>238</v>
      </c>
      <c r="K8" s="3">
        <f t="shared" si="3"/>
        <v>0.81679389312977102</v>
      </c>
      <c r="N8">
        <v>50000</v>
      </c>
      <c r="O8" s="3">
        <f t="shared" si="4"/>
        <v>0.42857142857142855</v>
      </c>
      <c r="P8">
        <v>246</v>
      </c>
      <c r="Q8" s="3">
        <f t="shared" si="5"/>
        <v>0.84962406015037595</v>
      </c>
    </row>
    <row r="9" spans="1:17" x14ac:dyDescent="0.35">
      <c r="B9">
        <v>45000</v>
      </c>
      <c r="C9" s="3">
        <f t="shared" si="0"/>
        <v>0.2857142857142857</v>
      </c>
      <c r="D9">
        <v>276</v>
      </c>
      <c r="E9" s="3">
        <f t="shared" si="1"/>
        <v>0.65269461077844315</v>
      </c>
      <c r="H9">
        <v>45000</v>
      </c>
      <c r="I9" s="3">
        <f t="shared" si="2"/>
        <v>0.2857142857142857</v>
      </c>
      <c r="J9">
        <v>202</v>
      </c>
      <c r="K9" s="3">
        <f t="shared" si="3"/>
        <v>0.5419847328244275</v>
      </c>
      <c r="N9">
        <v>45000</v>
      </c>
      <c r="O9" s="3">
        <f t="shared" si="4"/>
        <v>0.2857142857142857</v>
      </c>
      <c r="P9">
        <v>209</v>
      </c>
      <c r="Q9" s="3">
        <f t="shared" si="5"/>
        <v>0.5714285714285714</v>
      </c>
    </row>
    <row r="10" spans="1:17" x14ac:dyDescent="0.35">
      <c r="B10">
        <v>40000</v>
      </c>
      <c r="C10" s="3">
        <f t="shared" si="0"/>
        <v>0.14285714285714285</v>
      </c>
      <c r="D10">
        <v>222</v>
      </c>
      <c r="E10" s="3">
        <f t="shared" si="1"/>
        <v>0.32934131736526945</v>
      </c>
      <c r="H10">
        <v>40000</v>
      </c>
      <c r="I10" s="3">
        <f t="shared" si="2"/>
        <v>0.14285714285714285</v>
      </c>
      <c r="J10">
        <v>167</v>
      </c>
      <c r="K10" s="3">
        <f t="shared" si="3"/>
        <v>0.27480916030534353</v>
      </c>
      <c r="N10">
        <v>40000</v>
      </c>
      <c r="O10" s="3">
        <f t="shared" si="4"/>
        <v>0.14285714285714285</v>
      </c>
      <c r="P10">
        <v>171</v>
      </c>
      <c r="Q10" s="3">
        <f t="shared" si="5"/>
        <v>0.2857142857142857</v>
      </c>
    </row>
    <row r="11" spans="1:17" x14ac:dyDescent="0.35">
      <c r="A11" t="s">
        <v>244</v>
      </c>
      <c r="B11">
        <v>35000</v>
      </c>
      <c r="C11" s="3">
        <f>(B11-$B$11)/$B$11</f>
        <v>0</v>
      </c>
      <c r="D11">
        <v>167</v>
      </c>
      <c r="E11" s="3">
        <f t="shared" si="1"/>
        <v>0</v>
      </c>
      <c r="G11" t="s">
        <v>244</v>
      </c>
      <c r="H11">
        <v>35000</v>
      </c>
      <c r="I11" s="3">
        <f t="shared" si="2"/>
        <v>0</v>
      </c>
      <c r="J11">
        <v>131</v>
      </c>
      <c r="K11" s="3">
        <f t="shared" si="3"/>
        <v>0</v>
      </c>
      <c r="M11" t="s">
        <v>244</v>
      </c>
      <c r="N11">
        <v>35000</v>
      </c>
      <c r="O11" s="3">
        <f>(N11-$N$11)/$N$11</f>
        <v>0</v>
      </c>
      <c r="P11">
        <v>133</v>
      </c>
      <c r="Q11" s="3">
        <f>(P11-$P$11)/$P$11</f>
        <v>0</v>
      </c>
    </row>
    <row r="12" spans="1:17" x14ac:dyDescent="0.35">
      <c r="B12">
        <v>30000</v>
      </c>
      <c r="C12" s="3">
        <f>(B12-$B$11)/$B$11</f>
        <v>-0.14285714285714285</v>
      </c>
      <c r="D12">
        <v>108</v>
      </c>
      <c r="E12" s="3">
        <f>(D12-$D$11)/$D$11</f>
        <v>-0.3532934131736527</v>
      </c>
      <c r="H12">
        <v>30000</v>
      </c>
      <c r="I12" s="3">
        <f>(H12-$H$11)/$H$11</f>
        <v>-0.14285714285714285</v>
      </c>
      <c r="J12">
        <v>95</v>
      </c>
      <c r="K12" s="3">
        <f>(J12-$J$11)/$J$11</f>
        <v>-0.27480916030534353</v>
      </c>
      <c r="N12">
        <v>30000</v>
      </c>
      <c r="O12" s="3">
        <f t="shared" ref="O12:O18" si="6">(N12-$N$11)/$N$11</f>
        <v>-0.14285714285714285</v>
      </c>
      <c r="P12">
        <v>95</v>
      </c>
      <c r="Q12" s="3">
        <f t="shared" ref="Q12:Q18" si="7">(P12-$P$11)/$P$11</f>
        <v>-0.2857142857142857</v>
      </c>
    </row>
    <row r="13" spans="1:17" x14ac:dyDescent="0.35">
      <c r="B13">
        <v>25000</v>
      </c>
      <c r="C13" s="3">
        <f t="shared" ref="C13:C18" si="8">(B13-$B$11)/$B$11</f>
        <v>-0.2857142857142857</v>
      </c>
      <c r="D13">
        <v>54</v>
      </c>
      <c r="E13" s="3">
        <f t="shared" ref="E13:E18" si="9">(D13-$D$11)/$D$11</f>
        <v>-0.67664670658682635</v>
      </c>
      <c r="H13">
        <v>25000</v>
      </c>
      <c r="I13" s="3">
        <f t="shared" ref="I13:I18" si="10">(H13-$H$11)/$H$11</f>
        <v>-0.2857142857142857</v>
      </c>
      <c r="J13">
        <v>59</v>
      </c>
      <c r="K13" s="3">
        <f t="shared" ref="K13:K18" si="11">(J13-$J$11)/$J$11</f>
        <v>-0.54961832061068705</v>
      </c>
      <c r="N13">
        <v>25000</v>
      </c>
      <c r="O13" s="3">
        <f t="shared" si="6"/>
        <v>-0.2857142857142857</v>
      </c>
      <c r="P13">
        <v>56</v>
      </c>
      <c r="Q13" s="3">
        <f t="shared" si="7"/>
        <v>-0.57894736842105265</v>
      </c>
    </row>
    <row r="14" spans="1:17" x14ac:dyDescent="0.35">
      <c r="B14">
        <v>20000</v>
      </c>
      <c r="C14" s="3">
        <f t="shared" si="8"/>
        <v>-0.42857142857142855</v>
      </c>
      <c r="D14">
        <v>-6</v>
      </c>
      <c r="E14" s="3">
        <f t="shared" si="9"/>
        <v>-1.0359281437125749</v>
      </c>
      <c r="H14">
        <v>20000</v>
      </c>
      <c r="I14" s="3">
        <f t="shared" si="10"/>
        <v>-0.42857142857142855</v>
      </c>
      <c r="J14">
        <v>24</v>
      </c>
      <c r="K14" s="3">
        <f t="shared" si="11"/>
        <v>-0.81679389312977102</v>
      </c>
      <c r="N14">
        <v>20000</v>
      </c>
      <c r="O14" s="3">
        <f t="shared" si="6"/>
        <v>-0.42857142857142855</v>
      </c>
      <c r="P14">
        <v>20</v>
      </c>
      <c r="Q14" s="3">
        <f t="shared" si="7"/>
        <v>-0.84962406015037595</v>
      </c>
    </row>
    <row r="15" spans="1:17" x14ac:dyDescent="0.35">
      <c r="B15">
        <v>15000</v>
      </c>
      <c r="C15" s="3">
        <f t="shared" si="8"/>
        <v>-0.5714285714285714</v>
      </c>
      <c r="D15">
        <v>-60</v>
      </c>
      <c r="E15" s="3">
        <f t="shared" si="9"/>
        <v>-1.3592814371257484</v>
      </c>
      <c r="H15">
        <v>15000</v>
      </c>
      <c r="I15" s="3">
        <f t="shared" si="10"/>
        <v>-0.5714285714285714</v>
      </c>
      <c r="J15">
        <v>-12</v>
      </c>
      <c r="K15" s="3">
        <f t="shared" si="11"/>
        <v>-1.0916030534351144</v>
      </c>
      <c r="N15">
        <v>15000</v>
      </c>
      <c r="O15" s="3">
        <f t="shared" si="6"/>
        <v>-0.5714285714285714</v>
      </c>
      <c r="P15">
        <v>-17</v>
      </c>
      <c r="Q15" s="3">
        <f t="shared" si="7"/>
        <v>-1.1278195488721805</v>
      </c>
    </row>
    <row r="16" spans="1:17" x14ac:dyDescent="0.35">
      <c r="B16">
        <v>10000</v>
      </c>
      <c r="C16" s="3">
        <f t="shared" si="8"/>
        <v>-0.7142857142857143</v>
      </c>
      <c r="D16">
        <v>-114</v>
      </c>
      <c r="E16" s="3">
        <f t="shared" si="9"/>
        <v>-1.6826347305389222</v>
      </c>
      <c r="H16">
        <v>10000</v>
      </c>
      <c r="I16" s="3">
        <f t="shared" si="10"/>
        <v>-0.7142857142857143</v>
      </c>
      <c r="J16">
        <v>-48</v>
      </c>
      <c r="K16" s="3">
        <f t="shared" si="11"/>
        <v>-1.366412213740458</v>
      </c>
      <c r="N16">
        <v>10000</v>
      </c>
      <c r="O16" s="3">
        <f t="shared" si="6"/>
        <v>-0.7142857142857143</v>
      </c>
      <c r="P16">
        <v>-55</v>
      </c>
      <c r="Q16" s="3">
        <f t="shared" si="7"/>
        <v>-1.4135338345864661</v>
      </c>
    </row>
    <row r="17" spans="2:17" x14ac:dyDescent="0.35">
      <c r="B17">
        <v>5000</v>
      </c>
      <c r="C17" s="3">
        <f t="shared" si="8"/>
        <v>-0.8571428571428571</v>
      </c>
      <c r="D17">
        <v>-176</v>
      </c>
      <c r="E17" s="3">
        <f t="shared" si="9"/>
        <v>-2.0538922155688621</v>
      </c>
      <c r="H17">
        <v>5000</v>
      </c>
      <c r="I17" s="3">
        <f t="shared" si="10"/>
        <v>-0.8571428571428571</v>
      </c>
      <c r="J17">
        <v>-83</v>
      </c>
      <c r="K17" s="3">
        <f t="shared" si="11"/>
        <v>-1.633587786259542</v>
      </c>
      <c r="N17">
        <v>5000</v>
      </c>
      <c r="O17" s="3">
        <f t="shared" si="6"/>
        <v>-0.8571428571428571</v>
      </c>
      <c r="P17">
        <v>-93</v>
      </c>
      <c r="Q17" s="3">
        <f t="shared" si="7"/>
        <v>-1.6992481203007519</v>
      </c>
    </row>
    <row r="18" spans="2:17" x14ac:dyDescent="0.35">
      <c r="B18">
        <v>0</v>
      </c>
      <c r="C18" s="3">
        <f t="shared" si="8"/>
        <v>-1</v>
      </c>
      <c r="D18">
        <v>-229</v>
      </c>
      <c r="E18" s="3">
        <f t="shared" si="9"/>
        <v>-2.3712574850299402</v>
      </c>
      <c r="H18">
        <v>0</v>
      </c>
      <c r="I18" s="3">
        <f t="shared" si="10"/>
        <v>-1</v>
      </c>
      <c r="J18">
        <v>-119</v>
      </c>
      <c r="K18" s="3">
        <f t="shared" si="11"/>
        <v>-1.9083969465648856</v>
      </c>
      <c r="N18">
        <v>0</v>
      </c>
      <c r="O18" s="3">
        <f t="shared" si="6"/>
        <v>-1</v>
      </c>
      <c r="P18">
        <v>-130</v>
      </c>
      <c r="Q18" s="3">
        <f t="shared" si="7"/>
        <v>-1.9774436090225564</v>
      </c>
    </row>
    <row r="21" spans="2:17" x14ac:dyDescent="0.35">
      <c r="B21" t="s">
        <v>259</v>
      </c>
    </row>
    <row r="23" spans="2:17" x14ac:dyDescent="0.35">
      <c r="B23" t="s">
        <v>247</v>
      </c>
      <c r="C23" t="s">
        <v>218</v>
      </c>
      <c r="D23" t="s">
        <v>233</v>
      </c>
      <c r="E23" t="s">
        <v>219</v>
      </c>
      <c r="F23" t="s">
        <v>238</v>
      </c>
      <c r="G23" t="s">
        <v>239</v>
      </c>
    </row>
    <row r="24" spans="2:17" x14ac:dyDescent="0.35">
      <c r="B24">
        <v>50000</v>
      </c>
      <c r="C24">
        <v>2.87</v>
      </c>
      <c r="D24">
        <v>3.31</v>
      </c>
      <c r="E24">
        <v>4.53</v>
      </c>
      <c r="F24" s="6">
        <v>0.17380000000000001</v>
      </c>
      <c r="G24" s="6">
        <v>0.3483</v>
      </c>
    </row>
    <row r="25" spans="2:17" x14ac:dyDescent="0.35">
      <c r="B25">
        <v>45000</v>
      </c>
      <c r="C25">
        <v>3.47</v>
      </c>
      <c r="D25">
        <v>3.76</v>
      </c>
      <c r="E25">
        <v>5.38</v>
      </c>
      <c r="F25" s="6">
        <v>0.15029999999999999</v>
      </c>
      <c r="G25" s="6">
        <v>0.2883</v>
      </c>
    </row>
    <row r="26" spans="2:17" x14ac:dyDescent="0.35">
      <c r="B26">
        <v>40000</v>
      </c>
      <c r="C26">
        <v>4.33</v>
      </c>
      <c r="D26">
        <v>4.33</v>
      </c>
      <c r="E26">
        <v>6.58</v>
      </c>
      <c r="F26" s="6">
        <v>0.12590000000000001</v>
      </c>
      <c r="G26" s="6">
        <v>0.2311</v>
      </c>
    </row>
    <row r="27" spans="2:17" x14ac:dyDescent="0.35">
      <c r="B27">
        <v>35000</v>
      </c>
      <c r="C27">
        <v>5.66</v>
      </c>
      <c r="D27">
        <v>5.08</v>
      </c>
      <c r="E27">
        <v>8.4</v>
      </c>
      <c r="F27" s="6">
        <v>0.10050000000000001</v>
      </c>
      <c r="G27" s="6">
        <v>0.17660000000000001</v>
      </c>
    </row>
    <row r="28" spans="2:17" x14ac:dyDescent="0.35">
      <c r="B28">
        <v>30000</v>
      </c>
      <c r="C28">
        <v>8.0299999999999994</v>
      </c>
      <c r="D28">
        <v>6.11</v>
      </c>
      <c r="E28">
        <v>11.49</v>
      </c>
      <c r="F28" s="6">
        <v>7.3999999999999996E-2</v>
      </c>
      <c r="G28" s="6">
        <v>0.1245</v>
      </c>
    </row>
    <row r="29" spans="2:17" x14ac:dyDescent="0.35">
      <c r="B29">
        <v>25000</v>
      </c>
      <c r="C29">
        <v>13.37</v>
      </c>
      <c r="D29">
        <v>7.61</v>
      </c>
      <c r="E29">
        <v>17.88</v>
      </c>
      <c r="F29" s="6">
        <v>4.6399999999999997E-2</v>
      </c>
      <c r="G29" s="6">
        <v>7.4800000000000005E-2</v>
      </c>
    </row>
    <row r="30" spans="2:17" x14ac:dyDescent="0.35">
      <c r="B30">
        <v>20000</v>
      </c>
      <c r="C30">
        <v>36.700000000000003</v>
      </c>
      <c r="D30">
        <v>9.98</v>
      </c>
      <c r="E30">
        <v>38.869999999999997</v>
      </c>
      <c r="F30" s="6">
        <v>1.77E-2</v>
      </c>
      <c r="G30" s="6">
        <v>2.7199999999999998E-2</v>
      </c>
    </row>
  </sheetData>
  <mergeCells count="3">
    <mergeCell ref="B1:D1"/>
    <mergeCell ref="H1:J1"/>
    <mergeCell ref="N1:P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Quarterly</vt:lpstr>
      <vt:lpstr>Annual</vt:lpstr>
      <vt:lpstr>Assumptions</vt:lpstr>
      <vt:lpstr>DCF</vt:lpstr>
      <vt:lpstr>WACC</vt:lpstr>
      <vt:lpstr>Debt</vt:lpstr>
      <vt:lpstr>Ships</vt:lpstr>
      <vt:lpstr>Multiples</vt:lpstr>
      <vt:lpstr>Sensitivities</vt:lpstr>
      <vt:lpstr>Secured utilization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Heidar Engebret</dc:creator>
  <cp:lastModifiedBy>Heidar Engebret</cp:lastModifiedBy>
  <dcterms:created xsi:type="dcterms:W3CDTF">2014-12-02T20:56:14Z</dcterms:created>
  <dcterms:modified xsi:type="dcterms:W3CDTF">2015-03-30T21:31:30Z</dcterms:modified>
</cp:coreProperties>
</file>